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ili\Desktop\oiv_31052024\performance_oiv_21052024\ammontare_complessivo_premi\"/>
    </mc:Choice>
  </mc:AlternateContent>
  <xr:revisionPtr revIDLastSave="0" documentId="8_{53C77249-BE6A-4A01-9851-F5CC8204017C}" xr6:coauthVersionLast="47" xr6:coauthVersionMax="47" xr10:uidLastSave="{00000000-0000-0000-0000-000000000000}"/>
  <bookViews>
    <workbookView xWindow="4020" yWindow="4020" windowWidth="21600" windowHeight="11295" firstSheet="4" activeTab="7" xr2:uid="{00000000-000D-0000-FFFF-FFFF00000000}"/>
  </bookViews>
  <sheets>
    <sheet name="Calcoli Fondo" sheetId="8" r:id="rId1"/>
    <sheet name="Conteggio personale" sheetId="5" r:id="rId2"/>
    <sheet name="Categoria D" sheetId="6" r:id="rId3"/>
    <sheet name="Categoria C" sheetId="7" r:id="rId4"/>
    <sheet name="Categoria B3" sheetId="9" r:id="rId5"/>
    <sheet name="Categoria B1" sheetId="10" r:id="rId6"/>
    <sheet name="produttività da liquidare" sheetId="11" r:id="rId7"/>
    <sheet name="Liquidazione produttività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1" l="1"/>
  <c r="B3" i="11"/>
  <c r="D3" i="11"/>
  <c r="G3" i="11"/>
  <c r="D8" i="1" l="1"/>
  <c r="D9" i="1"/>
  <c r="D10" i="1"/>
  <c r="C8" i="1"/>
  <c r="C9" i="1"/>
  <c r="C10" i="1"/>
  <c r="D7" i="1"/>
  <c r="C7" i="1"/>
  <c r="D3" i="1"/>
  <c r="E3" i="1" s="1"/>
  <c r="D4" i="1"/>
  <c r="D5" i="1"/>
  <c r="D2" i="1"/>
  <c r="E3" i="6" l="1"/>
  <c r="E3" i="11" s="1"/>
  <c r="C5" i="6"/>
  <c r="C5" i="1" s="1"/>
  <c r="C3" i="6"/>
  <c r="C3" i="11" l="1"/>
  <c r="C3" i="1"/>
  <c r="C7" i="5"/>
  <c r="C5" i="5"/>
  <c r="C3" i="5"/>
  <c r="E3" i="7"/>
  <c r="E5" i="1" l="1"/>
  <c r="B5" i="11"/>
  <c r="C5" i="11"/>
  <c r="D5" i="11"/>
  <c r="G5" i="11"/>
  <c r="A5" i="11"/>
  <c r="G6" i="6" l="1"/>
  <c r="E5" i="6"/>
  <c r="E5" i="11" s="1"/>
  <c r="J13" i="11" l="1"/>
  <c r="E15" i="1"/>
  <c r="E13" i="1"/>
  <c r="E10" i="1"/>
  <c r="E9" i="1"/>
  <c r="E8" i="1"/>
  <c r="E7" i="1"/>
  <c r="E4" i="1" l="1"/>
  <c r="E2" i="1"/>
  <c r="G6" i="11" l="1"/>
  <c r="G7" i="11"/>
  <c r="G8" i="11"/>
  <c r="G9" i="11"/>
  <c r="G10" i="11"/>
  <c r="G11" i="11"/>
  <c r="G12" i="11"/>
  <c r="G3" i="10" l="1"/>
  <c r="G4" i="9"/>
  <c r="G6" i="7"/>
  <c r="B12" i="11"/>
  <c r="C12" i="11"/>
  <c r="D12" i="11"/>
  <c r="A12" i="11"/>
  <c r="A11" i="11"/>
  <c r="B11" i="11"/>
  <c r="C11" i="11"/>
  <c r="D11" i="11"/>
  <c r="B10" i="11"/>
  <c r="C10" i="11"/>
  <c r="D10" i="11"/>
  <c r="A10" i="11"/>
  <c r="A7" i="11"/>
  <c r="B7" i="11"/>
  <c r="C7" i="11"/>
  <c r="D7" i="11"/>
  <c r="A8" i="11"/>
  <c r="B8" i="11"/>
  <c r="C8" i="11"/>
  <c r="D8" i="11"/>
  <c r="A9" i="11"/>
  <c r="B9" i="11"/>
  <c r="C9" i="11"/>
  <c r="D9" i="11"/>
  <c r="B6" i="11"/>
  <c r="C6" i="11"/>
  <c r="D6" i="11"/>
  <c r="A6" i="11"/>
  <c r="A4" i="11"/>
  <c r="B4" i="11"/>
  <c r="C4" i="11"/>
  <c r="D4" i="11"/>
  <c r="G4" i="11"/>
  <c r="B2" i="11"/>
  <c r="C2" i="11"/>
  <c r="D2" i="11"/>
  <c r="G2" i="11"/>
  <c r="A2" i="11"/>
  <c r="E12" i="11"/>
  <c r="C14" i="5"/>
  <c r="E11" i="11"/>
  <c r="E10" i="11"/>
  <c r="C11" i="5"/>
  <c r="E5" i="7"/>
  <c r="E9" i="11" s="1"/>
  <c r="E4" i="7"/>
  <c r="E8" i="11" s="1"/>
  <c r="E7" i="11"/>
  <c r="E2" i="7"/>
  <c r="E6" i="11" s="1"/>
  <c r="E4" i="6"/>
  <c r="E4" i="11" s="1"/>
  <c r="E2" i="6"/>
  <c r="E2" i="11" s="1"/>
  <c r="C17" i="5"/>
  <c r="D16" i="5" l="1"/>
  <c r="C6" i="5"/>
  <c r="D3" i="5" s="1"/>
  <c r="D12" i="5"/>
  <c r="C20" i="5" l="1"/>
  <c r="B2" i="8" s="1"/>
  <c r="D8" i="5"/>
  <c r="F8" i="5" s="1"/>
  <c r="F3" i="5"/>
  <c r="F16" i="5"/>
  <c r="F12" i="5"/>
  <c r="C2" i="8" l="1"/>
  <c r="H19" i="1" s="1"/>
  <c r="D2" i="8"/>
  <c r="F20" i="5"/>
  <c r="D20" i="5"/>
  <c r="E2" i="8" l="1"/>
  <c r="F2" i="8" s="1"/>
  <c r="G1" i="5" l="1"/>
  <c r="H3" i="5" s="1"/>
  <c r="G8" i="5" l="1"/>
  <c r="H16" i="5"/>
  <c r="H12" i="5"/>
  <c r="G12" i="5"/>
  <c r="G3" i="5"/>
  <c r="H8" i="5"/>
  <c r="G16" i="5"/>
  <c r="F5" i="1" l="1"/>
  <c r="F3" i="1"/>
  <c r="G3" i="1" s="1"/>
  <c r="H3" i="1" s="1"/>
  <c r="F2" i="1"/>
  <c r="F3" i="7"/>
  <c r="H3" i="7" s="1"/>
  <c r="I3" i="7" s="1"/>
  <c r="F10" i="1"/>
  <c r="F9" i="1"/>
  <c r="F8" i="1"/>
  <c r="F7" i="1"/>
  <c r="F3" i="6"/>
  <c r="F5" i="7"/>
  <c r="H5" i="7" s="1"/>
  <c r="G10" i="1" s="1"/>
  <c r="F2" i="7"/>
  <c r="H2" i="7" s="1"/>
  <c r="H6" i="11" s="1"/>
  <c r="F4" i="6"/>
  <c r="F4" i="11" s="1"/>
  <c r="F5" i="6"/>
  <c r="F5" i="11" s="1"/>
  <c r="F2" i="6"/>
  <c r="F4" i="7"/>
  <c r="F13" i="1"/>
  <c r="H13" i="1" s="1"/>
  <c r="F15" i="1"/>
  <c r="F12" i="11"/>
  <c r="H20" i="5"/>
  <c r="F7" i="11"/>
  <c r="I2" i="7"/>
  <c r="I6" i="11" s="1"/>
  <c r="K6" i="11" s="1"/>
  <c r="F6" i="11" l="1"/>
  <c r="G7" i="1"/>
  <c r="F6" i="7"/>
  <c r="I8" i="5" s="1"/>
  <c r="F9" i="11"/>
  <c r="G2" i="1"/>
  <c r="H3" i="6"/>
  <c r="F3" i="11"/>
  <c r="H7" i="1"/>
  <c r="H9" i="11"/>
  <c r="H15" i="1"/>
  <c r="I5" i="7"/>
  <c r="I9" i="11" s="1"/>
  <c r="K9" i="11" s="1"/>
  <c r="F8" i="11"/>
  <c r="H4" i="7"/>
  <c r="I4" i="7" s="1"/>
  <c r="I13" i="1"/>
  <c r="H4" i="6"/>
  <c r="H4" i="11" s="1"/>
  <c r="H10" i="1"/>
  <c r="H7" i="11"/>
  <c r="G8" i="1"/>
  <c r="H8" i="1" s="1"/>
  <c r="H5" i="6"/>
  <c r="G5" i="1" s="1"/>
  <c r="H5" i="1" s="1"/>
  <c r="H2" i="6"/>
  <c r="H2" i="11" s="1"/>
  <c r="F6" i="6"/>
  <c r="I3" i="5" s="1"/>
  <c r="H3" i="10"/>
  <c r="H2" i="1"/>
  <c r="F11" i="11"/>
  <c r="F10" i="11"/>
  <c r="H11" i="11"/>
  <c r="I11" i="11"/>
  <c r="K11" i="11" s="1"/>
  <c r="I7" i="11"/>
  <c r="K7" i="11" s="1"/>
  <c r="F2" i="11"/>
  <c r="F4" i="9"/>
  <c r="I12" i="5" s="1"/>
  <c r="F3" i="10"/>
  <c r="I16" i="5" s="1"/>
  <c r="I3" i="6" l="1"/>
  <c r="I3" i="11" s="1"/>
  <c r="K3" i="11" s="1"/>
  <c r="H3" i="11"/>
  <c r="F13" i="11"/>
  <c r="I20" i="5"/>
  <c r="H22" i="1" s="1"/>
  <c r="H6" i="7"/>
  <c r="H8" i="11"/>
  <c r="G9" i="1"/>
  <c r="I4" i="6"/>
  <c r="I5" i="6"/>
  <c r="I5" i="11" s="1"/>
  <c r="K5" i="11" s="1"/>
  <c r="H5" i="11"/>
  <c r="I2" i="6"/>
  <c r="I6" i="6" s="1"/>
  <c r="H6" i="6"/>
  <c r="I12" i="11"/>
  <c r="K12" i="11" s="1"/>
  <c r="H12" i="11"/>
  <c r="H10" i="11"/>
  <c r="H4" i="9"/>
  <c r="I10" i="11"/>
  <c r="K10" i="11" s="1"/>
  <c r="I4" i="9"/>
  <c r="I6" i="7"/>
  <c r="I8" i="11"/>
  <c r="K8" i="11" s="1"/>
  <c r="I4" i="11" l="1"/>
  <c r="K4" i="11" s="1"/>
  <c r="F4" i="1"/>
  <c r="H9" i="1"/>
  <c r="I10" i="1" s="1"/>
  <c r="F16" i="1"/>
  <c r="I2" i="11"/>
  <c r="K2" i="11" s="1"/>
  <c r="K13" i="11" s="1"/>
  <c r="G4" i="1"/>
  <c r="H4" i="1" s="1"/>
  <c r="H13" i="11"/>
  <c r="I3" i="10"/>
  <c r="H16" i="1" l="1"/>
  <c r="I5" i="1"/>
  <c r="G16" i="1"/>
  <c r="H17" i="1" s="1"/>
  <c r="I13" i="11"/>
  <c r="H21" i="1" l="1"/>
  <c r="H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Gianfranco Musiari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Gianfranco Musiari:</t>
        </r>
        <r>
          <rPr>
            <sz val="9"/>
            <color indexed="81"/>
            <rFont val="Tahoma"/>
            <family val="2"/>
          </rPr>
          <t xml:space="preserve">
Fondo totale/numero dipendenti</t>
        </r>
      </text>
    </comment>
  </commentList>
</comments>
</file>

<file path=xl/sharedStrings.xml><?xml version="1.0" encoding="utf-8"?>
<sst xmlns="http://schemas.openxmlformats.org/spreadsheetml/2006/main" count="134" uniqueCount="54">
  <si>
    <t>DIPENDENTE</t>
  </si>
  <si>
    <t>D1</t>
  </si>
  <si>
    <t>D2</t>
  </si>
  <si>
    <t>C1</t>
  </si>
  <si>
    <t>B1</t>
  </si>
  <si>
    <t>valutazione</t>
  </si>
  <si>
    <t>% incentivo</t>
  </si>
  <si>
    <t>Ore lavoro</t>
  </si>
  <si>
    <t>CATEGORIA D</t>
  </si>
  <si>
    <t>CATEGORIA C</t>
  </si>
  <si>
    <t>CATEGORIA B3</t>
  </si>
  <si>
    <t>Valutazione</t>
  </si>
  <si>
    <t>D</t>
  </si>
  <si>
    <t>C</t>
  </si>
  <si>
    <t>B3</t>
  </si>
  <si>
    <t>Ore</t>
  </si>
  <si>
    <t>Parametro</t>
  </si>
  <si>
    <t>Categoria</t>
  </si>
  <si>
    <t>numero persone</t>
  </si>
  <si>
    <t>Totale persone</t>
  </si>
  <si>
    <t>Totale punti</t>
  </si>
  <si>
    <t>Somma massima</t>
  </si>
  <si>
    <t>Importo per categoria</t>
  </si>
  <si>
    <t>Residuo Categoria</t>
  </si>
  <si>
    <t>30% di premio</t>
  </si>
  <si>
    <t>produttività da distribuire</t>
  </si>
  <si>
    <t>Riduzione per malattia primi 10 gg</t>
  </si>
  <si>
    <t>netto da liquidare</t>
  </si>
  <si>
    <t>CATEGORIA B1</t>
  </si>
  <si>
    <t>Fondo totale</t>
  </si>
  <si>
    <t xml:space="preserve">produttività media </t>
  </si>
  <si>
    <t>5% dei dipendenti aventi diritto</t>
  </si>
  <si>
    <t>Valore punto parametrale (Fondo da distribuire/totale punti)</t>
  </si>
  <si>
    <t>giorni di malattia</t>
  </si>
  <si>
    <t>Giorni di malattia</t>
  </si>
  <si>
    <t>premio da accantonare per 1 dipendenti</t>
  </si>
  <si>
    <t xml:space="preserve">PREMIO </t>
  </si>
  <si>
    <t>Totale da liquidare</t>
  </si>
  <si>
    <t>C2</t>
  </si>
  <si>
    <t>premio eccellenza valut. 98,5</t>
  </si>
  <si>
    <t>Quota produttività 2022</t>
  </si>
  <si>
    <t>riduzione malattia economia</t>
  </si>
  <si>
    <t>economie somme non liquidate per valutazioni inferiori</t>
  </si>
  <si>
    <t>da mettere sul fondo 2023</t>
  </si>
  <si>
    <t>002991-000011/001</t>
  </si>
  <si>
    <t xml:space="preserve"> 002991-000064/001</t>
  </si>
  <si>
    <t>002991-000008/001</t>
  </si>
  <si>
    <t>002991-000065/002</t>
  </si>
  <si>
    <t>002991-000017/001</t>
  </si>
  <si>
    <t>002991-000056/002</t>
  </si>
  <si>
    <t>002991-000004/001</t>
  </si>
  <si>
    <t>002991-000012/001</t>
  </si>
  <si>
    <t>002991-000064/001</t>
  </si>
  <si>
    <t>002991.000065/002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</si>
</sst>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\ &quot;€&quot;"/>
    <numFmt numFmtId="166" formatCode="_-* #,##0.00_-;\-* #,##0.00_-;_-* \-??_-;_-@_-"/>
    <numFmt numFmtId="167" formatCode="&quot;€&quot;\ #,##0.00"/>
    <numFmt numFmtId="168" formatCode="_-* #,##0.00\ [$€-410]_-;\-* #,##0.00\ [$€-410]_-;_-* &quot;-&quot;??\ [$€-410]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A7D00"/>
      <name val="Arial"/>
      <family val="2"/>
    </font>
    <font>
      <sz val="10"/>
      <color theme="1"/>
      <name val="Arial"/>
      <family val="2"/>
    </font>
    <font>
      <b/>
      <sz val="10"/>
      <color rgb="FF006100"/>
      <name val="Arial"/>
      <family val="2"/>
    </font>
    <font>
      <b/>
      <sz val="11"/>
      <color rgb="FF3F3F76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0"/>
      <color rgb="FF3F3F76"/>
      <name val="Arial"/>
      <family val="2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11"/>
      <color rgb="FF00B05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3" applyNumberFormat="0" applyAlignment="0" applyProtection="0"/>
    <xf numFmtId="0" fontId="6" fillId="6" borderId="3" applyNumberFormat="0" applyAlignment="0" applyProtection="0"/>
    <xf numFmtId="0" fontId="2" fillId="7" borderId="4" applyNumberFormat="0" applyFont="0" applyAlignment="0" applyProtection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1" fillId="0" borderId="1" xfId="1" applyBorder="1" applyAlignment="1">
      <alignment wrapText="1"/>
    </xf>
    <xf numFmtId="0" fontId="1" fillId="0" borderId="1" xfId="1" applyBorder="1" applyAlignment="1">
      <alignment vertical="top"/>
    </xf>
    <xf numFmtId="0" fontId="1" fillId="0" borderId="1" xfId="1" applyBorder="1" applyAlignment="1">
      <alignment vertical="top" wrapText="1"/>
    </xf>
    <xf numFmtId="0" fontId="1" fillId="0" borderId="1" xfId="1" applyBorder="1"/>
    <xf numFmtId="0" fontId="1" fillId="8" borderId="1" xfId="1" applyFill="1" applyBorder="1" applyAlignment="1">
      <alignment vertical="top"/>
    </xf>
    <xf numFmtId="0" fontId="1" fillId="8" borderId="1" xfId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7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165" fontId="0" fillId="0" borderId="0" xfId="0" applyNumberFormat="1"/>
    <xf numFmtId="165" fontId="7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6" borderId="1" xfId="6" applyFont="1" applyBorder="1" applyAlignment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165" fontId="11" fillId="0" borderId="0" xfId="0" applyNumberFormat="1" applyFont="1"/>
    <xf numFmtId="0" fontId="0" fillId="7" borderId="4" xfId="7" applyFont="1" applyAlignment="1">
      <alignment horizontal="center"/>
    </xf>
    <xf numFmtId="0" fontId="7" fillId="7" borderId="4" xfId="7" applyFont="1" applyAlignment="1">
      <alignment horizont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2" fillId="3" borderId="1" xfId="3" applyFont="1" applyBorder="1" applyAlignment="1" applyProtection="1">
      <alignment horizontal="center" vertical="center" wrapText="1"/>
      <protection locked="0"/>
    </xf>
    <xf numFmtId="0" fontId="9" fillId="0" borderId="1" xfId="0" applyFont="1" applyBorder="1"/>
    <xf numFmtId="0" fontId="7" fillId="12" borderId="1" xfId="0" applyFont="1" applyFill="1" applyBorder="1" applyAlignment="1">
      <alignment horizontal="center" vertical="center" wrapText="1"/>
    </xf>
    <xf numFmtId="165" fontId="13" fillId="5" borderId="8" xfId="5" applyNumberFormat="1" applyFont="1" applyBorder="1" applyAlignment="1">
      <alignment horizontal="center" vertical="center" wrapText="1"/>
    </xf>
    <xf numFmtId="165" fontId="9" fillId="0" borderId="2" xfId="0" applyNumberFormat="1" applyFont="1" applyBorder="1"/>
    <xf numFmtId="0" fontId="7" fillId="7" borderId="9" xfId="7" applyFont="1" applyBorder="1" applyAlignment="1">
      <alignment horizontal="center" vertical="center" wrapText="1"/>
    </xf>
    <xf numFmtId="164" fontId="11" fillId="0" borderId="1" xfId="0" applyNumberFormat="1" applyFont="1" applyBorder="1"/>
    <xf numFmtId="0" fontId="15" fillId="14" borderId="2" xfId="4" applyFont="1" applyFill="1" applyBorder="1" applyAlignment="1">
      <alignment horizontal="center" wrapText="1"/>
    </xf>
    <xf numFmtId="164" fontId="11" fillId="0" borderId="2" xfId="0" applyNumberFormat="1" applyFont="1" applyBorder="1"/>
    <xf numFmtId="0" fontId="11" fillId="0" borderId="2" xfId="0" applyFont="1" applyBorder="1"/>
    <xf numFmtId="0" fontId="15" fillId="12" borderId="1" xfId="4" applyFont="1" applyFill="1" applyBorder="1" applyAlignment="1">
      <alignment horizontal="center" wrapText="1"/>
    </xf>
    <xf numFmtId="164" fontId="9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7" fontId="0" fillId="0" borderId="0" xfId="0" applyNumberFormat="1" applyAlignment="1">
      <alignment horizontal="center" wrapText="1"/>
    </xf>
    <xf numFmtId="166" fontId="0" fillId="0" borderId="0" xfId="0" applyNumberFormat="1" applyAlignment="1">
      <alignment wrapText="1"/>
    </xf>
    <xf numFmtId="166" fontId="14" fillId="0" borderId="0" xfId="0" applyNumberFormat="1" applyFont="1" applyAlignment="1">
      <alignment wrapText="1"/>
    </xf>
    <xf numFmtId="44" fontId="0" fillId="0" borderId="0" xfId="2" applyFont="1"/>
    <xf numFmtId="44" fontId="0" fillId="0" borderId="1" xfId="2" applyFont="1" applyBorder="1"/>
    <xf numFmtId="0" fontId="7" fillId="15" borderId="1" xfId="0" applyFont="1" applyFill="1" applyBorder="1" applyAlignment="1">
      <alignment horizontal="center" vertical="center" wrapText="1"/>
    </xf>
    <xf numFmtId="44" fontId="0" fillId="15" borderId="1" xfId="2" applyFont="1" applyFill="1" applyBorder="1" applyAlignment="1">
      <alignment wrapText="1"/>
    </xf>
    <xf numFmtId="0" fontId="7" fillId="1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44" fontId="7" fillId="10" borderId="1" xfId="2" applyFont="1" applyFill="1" applyBorder="1"/>
    <xf numFmtId="44" fontId="18" fillId="10" borderId="1" xfId="2" applyFont="1" applyFill="1" applyBorder="1" applyAlignment="1">
      <alignment horizontal="center"/>
    </xf>
    <xf numFmtId="44" fontId="7" fillId="16" borderId="1" xfId="2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165" fontId="3" fillId="3" borderId="10" xfId="3" applyNumberFormat="1" applyBorder="1"/>
    <xf numFmtId="165" fontId="19" fillId="5" borderId="8" xfId="5" applyNumberFormat="1" applyFont="1" applyBorder="1" applyAlignment="1">
      <alignment horizontal="center" vertical="center" wrapText="1"/>
    </xf>
    <xf numFmtId="168" fontId="9" fillId="0" borderId="2" xfId="2" applyNumberFormat="1" applyFont="1" applyBorder="1"/>
    <xf numFmtId="1" fontId="11" fillId="0" borderId="2" xfId="0" applyNumberFormat="1" applyFont="1" applyBorder="1"/>
    <xf numFmtId="0" fontId="1" fillId="8" borderId="1" xfId="1" applyFill="1" applyBorder="1" applyAlignment="1">
      <alignment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6" borderId="6" xfId="6" applyFont="1" applyBorder="1" applyAlignment="1">
      <alignment horizontal="center" vertical="center" wrapText="1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3" applyFont="1" applyBorder="1" applyAlignment="1" applyProtection="1">
      <alignment horizontal="center" vertical="center" wrapText="1"/>
      <protection locked="0"/>
    </xf>
    <xf numFmtId="44" fontId="19" fillId="5" borderId="14" xfId="2" applyFont="1" applyFill="1" applyBorder="1" applyAlignment="1">
      <alignment horizontal="center" vertical="center" wrapText="1"/>
    </xf>
    <xf numFmtId="0" fontId="0" fillId="0" borderId="1" xfId="0" applyBorder="1"/>
    <xf numFmtId="44" fontId="20" fillId="14" borderId="15" xfId="2" applyFont="1" applyFill="1" applyBorder="1" applyAlignment="1">
      <alignment horizontal="center" vertical="center" wrapText="1"/>
    </xf>
    <xf numFmtId="1" fontId="20" fillId="14" borderId="15" xfId="4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0" fontId="14" fillId="14" borderId="2" xfId="4" applyFont="1" applyFill="1" applyBorder="1" applyAlignment="1">
      <alignment horizontal="center" vertical="center" wrapText="1"/>
    </xf>
    <xf numFmtId="0" fontId="14" fillId="12" borderId="1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1" fillId="0" borderId="0" xfId="0" applyNumberFormat="1" applyFont="1"/>
    <xf numFmtId="164" fontId="9" fillId="0" borderId="10" xfId="0" applyNumberFormat="1" applyFont="1" applyBorder="1"/>
    <xf numFmtId="164" fontId="9" fillId="8" borderId="1" xfId="0" applyNumberFormat="1" applyFont="1" applyFill="1" applyBorder="1"/>
    <xf numFmtId="0" fontId="9" fillId="0" borderId="0" xfId="0" applyFont="1"/>
    <xf numFmtId="44" fontId="21" fillId="0" borderId="0" xfId="2" applyFont="1"/>
    <xf numFmtId="1" fontId="9" fillId="0" borderId="1" xfId="0" applyNumberFormat="1" applyFont="1" applyBorder="1"/>
    <xf numFmtId="1" fontId="11" fillId="0" borderId="2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" fontId="11" fillId="8" borderId="2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4" fontId="23" fillId="0" borderId="0" xfId="2" applyFont="1"/>
    <xf numFmtId="44" fontId="20" fillId="12" borderId="15" xfId="2" applyFont="1" applyFill="1" applyBorder="1" applyAlignment="1">
      <alignment horizontal="center" vertical="center" wrapText="1"/>
    </xf>
    <xf numFmtId="44" fontId="7" fillId="0" borderId="2" xfId="2" applyFont="1" applyBorder="1"/>
    <xf numFmtId="44" fontId="23" fillId="0" borderId="1" xfId="2" applyFont="1" applyBorder="1"/>
    <xf numFmtId="44" fontId="20" fillId="12" borderId="1" xfId="2" applyFont="1" applyFill="1" applyBorder="1" applyAlignment="1">
      <alignment horizontal="center" vertical="center" wrapText="1"/>
    </xf>
    <xf numFmtId="44" fontId="0" fillId="0" borderId="1" xfId="0" applyNumberFormat="1" applyBorder="1"/>
    <xf numFmtId="14" fontId="11" fillId="0" borderId="0" xfId="0" applyNumberFormat="1" applyFont="1"/>
    <xf numFmtId="44" fontId="0" fillId="0" borderId="0" xfId="0" applyNumberFormat="1"/>
    <xf numFmtId="0" fontId="7" fillId="0" borderId="1" xfId="0" applyFont="1" applyBorder="1"/>
    <xf numFmtId="2" fontId="1" fillId="0" borderId="1" xfId="1" applyNumberFormat="1" applyBorder="1" applyAlignment="1">
      <alignment vertical="top" wrapText="1"/>
    </xf>
    <xf numFmtId="44" fontId="11" fillId="0" borderId="1" xfId="0" applyNumberFormat="1" applyFont="1" applyBorder="1"/>
    <xf numFmtId="165" fontId="11" fillId="0" borderId="2" xfId="0" applyNumberFormat="1" applyFont="1" applyBorder="1"/>
    <xf numFmtId="0" fontId="11" fillId="0" borderId="16" xfId="0" applyFont="1" applyBorder="1"/>
    <xf numFmtId="164" fontId="11" fillId="0" borderId="5" xfId="0" applyNumberFormat="1" applyFont="1" applyBorder="1"/>
    <xf numFmtId="165" fontId="11" fillId="0" borderId="1" xfId="0" applyNumberFormat="1" applyFont="1" applyBorder="1"/>
    <xf numFmtId="164" fontId="22" fillId="0" borderId="1" xfId="0" applyNumberFormat="1" applyFont="1" applyBorder="1"/>
    <xf numFmtId="43" fontId="22" fillId="0" borderId="1" xfId="8" applyFont="1" applyBorder="1"/>
    <xf numFmtId="0" fontId="11" fillId="0" borderId="17" xfId="0" applyFont="1" applyBorder="1"/>
    <xf numFmtId="165" fontId="11" fillId="0" borderId="17" xfId="0" applyNumberFormat="1" applyFont="1" applyBorder="1"/>
    <xf numFmtId="165" fontId="9" fillId="0" borderId="1" xfId="0" applyNumberFormat="1" applyFont="1" applyBorder="1"/>
    <xf numFmtId="2" fontId="7" fillId="9" borderId="1" xfId="0" applyNumberFormat="1" applyFont="1" applyFill="1" applyBorder="1" applyAlignment="1">
      <alignment horizontal="center" vertical="center"/>
    </xf>
    <xf numFmtId="165" fontId="7" fillId="13" borderId="1" xfId="0" applyNumberFormat="1" applyFont="1" applyFill="1" applyBorder="1" applyAlignment="1">
      <alignment horizontal="center" vertical="center"/>
    </xf>
    <xf numFmtId="165" fontId="7" fillId="13" borderId="6" xfId="0" applyNumberFormat="1" applyFont="1" applyFill="1" applyBorder="1" applyAlignment="1">
      <alignment horizontal="center" vertical="center"/>
    </xf>
    <xf numFmtId="165" fontId="7" fillId="13" borderId="7" xfId="0" applyNumberFormat="1" applyFont="1" applyFill="1" applyBorder="1" applyAlignment="1">
      <alignment horizontal="center" vertical="center"/>
    </xf>
    <xf numFmtId="165" fontId="7" fillId="13" borderId="5" xfId="0" applyNumberFormat="1" applyFont="1" applyFill="1" applyBorder="1" applyAlignment="1">
      <alignment horizontal="center" vertical="center"/>
    </xf>
    <xf numFmtId="165" fontId="7" fillId="11" borderId="1" xfId="0" applyNumberFormat="1" applyFont="1" applyFill="1" applyBorder="1" applyAlignment="1">
      <alignment horizontal="center" vertical="center"/>
    </xf>
    <xf numFmtId="165" fontId="7" fillId="12" borderId="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7" borderId="4" xfId="7" applyFont="1" applyAlignment="1">
      <alignment horizontal="center" vertical="center"/>
    </xf>
    <xf numFmtId="2" fontId="7" fillId="7" borderId="4" xfId="7" applyNumberFormat="1" applyFont="1" applyAlignment="1">
      <alignment horizontal="center" vertical="center"/>
    </xf>
    <xf numFmtId="2" fontId="7" fillId="10" borderId="5" xfId="0" applyNumberFormat="1" applyFont="1" applyFill="1" applyBorder="1" applyAlignment="1">
      <alignment horizontal="center" vertical="center"/>
    </xf>
    <xf numFmtId="2" fontId="7" fillId="10" borderId="1" xfId="0" applyNumberFormat="1" applyFont="1" applyFill="1" applyBorder="1" applyAlignment="1">
      <alignment horizontal="center" vertical="center"/>
    </xf>
    <xf numFmtId="2" fontId="7" fillId="9" borderId="5" xfId="0" applyNumberFormat="1" applyFont="1" applyFill="1" applyBorder="1" applyAlignment="1">
      <alignment horizontal="center" vertical="center"/>
    </xf>
  </cellXfs>
  <cellStyles count="9">
    <cellStyle name="Calcolo" xfId="6" builtinId="22"/>
    <cellStyle name="Input" xfId="5" builtinId="20"/>
    <cellStyle name="Migliaia" xfId="8" builtinId="3"/>
    <cellStyle name="Normale" xfId="0" builtinId="0"/>
    <cellStyle name="Normale 2" xfId="1" xr:uid="{00000000-0005-0000-0000-000004000000}"/>
    <cellStyle name="Nota" xfId="7" builtinId="10"/>
    <cellStyle name="Valore non valido" xfId="4" builtinId="27"/>
    <cellStyle name="Valore valido" xfId="3" builtinId="26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F2" sqref="F2"/>
    </sheetView>
  </sheetViews>
  <sheetFormatPr defaultRowHeight="15" x14ac:dyDescent="0.25"/>
  <cols>
    <col min="1" max="1" width="12.28515625" bestFit="1" customWidth="1"/>
    <col min="2" max="2" width="11.28515625" style="8" customWidth="1"/>
    <col min="3" max="3" width="9.42578125" bestFit="1" customWidth="1"/>
    <col min="4" max="4" width="10.85546875" customWidth="1"/>
    <col min="5" max="5" width="11.7109375" customWidth="1"/>
    <col min="6" max="6" width="12.140625" customWidth="1"/>
  </cols>
  <sheetData>
    <row r="1" spans="1:6" s="37" customFormat="1" ht="60" x14ac:dyDescent="0.25">
      <c r="A1" s="47" t="s">
        <v>29</v>
      </c>
      <c r="B1" s="44" t="s">
        <v>30</v>
      </c>
      <c r="C1" s="46" t="s">
        <v>24</v>
      </c>
      <c r="D1" s="46" t="s">
        <v>31</v>
      </c>
      <c r="E1" s="46" t="s">
        <v>35</v>
      </c>
      <c r="F1" s="47" t="s">
        <v>25</v>
      </c>
    </row>
    <row r="2" spans="1:6" s="42" customFormat="1" x14ac:dyDescent="0.25">
      <c r="A2" s="49">
        <v>9948.8700000000008</v>
      </c>
      <c r="B2" s="45">
        <f>+A2/'Conteggio personale'!C20</f>
        <v>1243.6087500000001</v>
      </c>
      <c r="C2" s="50">
        <f>+B2*30%</f>
        <v>373.08262500000001</v>
      </c>
      <c r="D2" s="46">
        <f>CEILING('Conteggio personale'!C20*5%,1)</f>
        <v>1</v>
      </c>
      <c r="E2" s="50">
        <f>+C2*D2</f>
        <v>373.08262500000001</v>
      </c>
      <c r="F2" s="48">
        <f>+A2-E2</f>
        <v>9575.7873749999999</v>
      </c>
    </row>
    <row r="3" spans="1:6" x14ac:dyDescent="0.25">
      <c r="B3" s="38"/>
      <c r="C3" s="8"/>
    </row>
    <row r="4" spans="1:6" x14ac:dyDescent="0.25">
      <c r="B4" s="39"/>
    </row>
    <row r="5" spans="1:6" x14ac:dyDescent="0.25">
      <c r="B5" s="40"/>
    </row>
    <row r="6" spans="1:6" x14ac:dyDescent="0.25">
      <c r="B6" s="40"/>
    </row>
    <row r="7" spans="1:6" x14ac:dyDescent="0.25">
      <c r="B7" s="40"/>
    </row>
    <row r="8" spans="1:6" x14ac:dyDescent="0.25">
      <c r="B8" s="4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opLeftCell="A4" workbookViewId="0">
      <selection activeCell="G28" sqref="G28"/>
    </sheetView>
  </sheetViews>
  <sheetFormatPr defaultRowHeight="15" x14ac:dyDescent="0.25"/>
  <cols>
    <col min="2" max="2" width="10.5703125" style="7" bestFit="1" customWidth="1"/>
    <col min="3" max="3" width="9.85546875" style="8" customWidth="1"/>
    <col min="4" max="4" width="12" bestFit="1" customWidth="1"/>
    <col min="5" max="5" width="10.5703125" customWidth="1"/>
    <col min="6" max="6" width="9.7109375" customWidth="1"/>
    <col min="7" max="7" width="13.42578125" customWidth="1"/>
    <col min="8" max="8" width="12.140625" customWidth="1"/>
    <col min="9" max="9" width="11.5703125" bestFit="1" customWidth="1"/>
  </cols>
  <sheetData>
    <row r="1" spans="1:9" ht="15" customHeight="1" thickBot="1" x14ac:dyDescent="0.3">
      <c r="A1" s="109" t="s">
        <v>32</v>
      </c>
      <c r="B1" s="110"/>
      <c r="C1" s="110"/>
      <c r="D1" s="110"/>
      <c r="E1" s="110"/>
      <c r="F1" s="111"/>
      <c r="G1" s="52">
        <f>'Calcoli Fondo'!F2/F20</f>
        <v>1173.7430898876405</v>
      </c>
    </row>
    <row r="2" spans="1:9" s="10" customFormat="1" ht="30" x14ac:dyDescent="0.25">
      <c r="A2" s="30" t="s">
        <v>17</v>
      </c>
      <c r="B2" s="30" t="s">
        <v>15</v>
      </c>
      <c r="C2" s="30" t="s">
        <v>18</v>
      </c>
      <c r="D2" s="30" t="s">
        <v>19</v>
      </c>
      <c r="E2" s="22" t="s">
        <v>16</v>
      </c>
      <c r="F2" s="23" t="s">
        <v>20</v>
      </c>
      <c r="G2" s="51" t="s">
        <v>21</v>
      </c>
      <c r="H2" s="27" t="s">
        <v>22</v>
      </c>
      <c r="I2" s="24" t="s">
        <v>23</v>
      </c>
    </row>
    <row r="3" spans="1:9" x14ac:dyDescent="0.25">
      <c r="A3" s="112" t="s">
        <v>12</v>
      </c>
      <c r="B3" s="20">
        <v>36</v>
      </c>
      <c r="C3" s="21">
        <f>1</f>
        <v>1</v>
      </c>
      <c r="D3" s="113">
        <f>C3+(C4/36*B4)+(C5/36*B5)+(C6/36*B6)+(C7/36*B7)</f>
        <v>2.5833333333333335</v>
      </c>
      <c r="E3" s="116">
        <v>1.3</v>
      </c>
      <c r="F3" s="114">
        <f>D3*E3</f>
        <v>3.3583333333333338</v>
      </c>
      <c r="G3" s="107">
        <f>$G$1*E3</f>
        <v>1525.8660168539327</v>
      </c>
      <c r="H3" s="108">
        <f>$G$1*F3</f>
        <v>3941.8205435393265</v>
      </c>
      <c r="I3" s="103">
        <f>+H3-'Categoria D'!F6</f>
        <v>366.27771702247264</v>
      </c>
    </row>
    <row r="4" spans="1:9" x14ac:dyDescent="0.25">
      <c r="A4" s="112"/>
      <c r="B4" s="20">
        <v>34</v>
      </c>
      <c r="C4" s="21">
        <v>0</v>
      </c>
      <c r="D4" s="113"/>
      <c r="E4" s="116"/>
      <c r="F4" s="114"/>
      <c r="G4" s="107"/>
      <c r="H4" s="108"/>
      <c r="I4" s="103"/>
    </row>
    <row r="5" spans="1:9" x14ac:dyDescent="0.25">
      <c r="A5" s="112"/>
      <c r="B5" s="20">
        <v>28</v>
      </c>
      <c r="C5" s="21">
        <f>1</f>
        <v>1</v>
      </c>
      <c r="D5" s="113"/>
      <c r="E5" s="102"/>
      <c r="F5" s="115"/>
      <c r="G5" s="107"/>
      <c r="H5" s="108"/>
      <c r="I5" s="103"/>
    </row>
    <row r="6" spans="1:9" x14ac:dyDescent="0.25">
      <c r="A6" s="112"/>
      <c r="B6" s="20">
        <v>16</v>
      </c>
      <c r="C6" s="21">
        <f>COUNTIF('Categoria D'!$C$2:$C$12, B6)</f>
        <v>1</v>
      </c>
      <c r="D6" s="113"/>
      <c r="E6" s="102"/>
      <c r="F6" s="115"/>
      <c r="G6" s="107"/>
      <c r="H6" s="108"/>
      <c r="I6" s="103"/>
    </row>
    <row r="7" spans="1:9" x14ac:dyDescent="0.25">
      <c r="A7" s="112"/>
      <c r="B7" s="20">
        <v>13</v>
      </c>
      <c r="C7" s="21">
        <f>COUNTIF('Categoria D'!$C$2:$C$12, B7)</f>
        <v>1</v>
      </c>
      <c r="D7" s="113"/>
      <c r="E7" s="102"/>
      <c r="F7" s="115"/>
      <c r="G7" s="107"/>
      <c r="H7" s="108"/>
      <c r="I7" s="103"/>
    </row>
    <row r="8" spans="1:9" x14ac:dyDescent="0.25">
      <c r="A8" s="112" t="s">
        <v>13</v>
      </c>
      <c r="B8" s="20">
        <v>36</v>
      </c>
      <c r="C8" s="21">
        <v>4</v>
      </c>
      <c r="D8" s="113">
        <f>C8+(C9/36*B9)+(C10/36*B10)+(C11/36*B11)</f>
        <v>4</v>
      </c>
      <c r="E8" s="102">
        <v>1.2</v>
      </c>
      <c r="F8" s="114">
        <f>D8*E8</f>
        <v>4.8</v>
      </c>
      <c r="G8" s="107">
        <f t="shared" ref="G8" si="0">$G$1*E8</f>
        <v>1408.4917078651686</v>
      </c>
      <c r="H8" s="108">
        <f t="shared" ref="H8" si="1">$G$1*F8</f>
        <v>5633.9668314606743</v>
      </c>
      <c r="I8" s="104">
        <f>H8-'Categoria C'!F6</f>
        <v>415.50505382022402</v>
      </c>
    </row>
    <row r="9" spans="1:9" x14ac:dyDescent="0.25">
      <c r="A9" s="112"/>
      <c r="B9" s="20">
        <v>30</v>
      </c>
      <c r="C9" s="21">
        <v>0</v>
      </c>
      <c r="D9" s="113"/>
      <c r="E9" s="102"/>
      <c r="F9" s="114"/>
      <c r="G9" s="107"/>
      <c r="H9" s="108"/>
      <c r="I9" s="105"/>
    </row>
    <row r="10" spans="1:9" x14ac:dyDescent="0.25">
      <c r="A10" s="112"/>
      <c r="B10" s="20">
        <v>24</v>
      </c>
      <c r="C10" s="21">
        <v>0</v>
      </c>
      <c r="D10" s="113"/>
      <c r="E10" s="102"/>
      <c r="F10" s="115"/>
      <c r="G10" s="107"/>
      <c r="H10" s="108"/>
      <c r="I10" s="105"/>
    </row>
    <row r="11" spans="1:9" x14ac:dyDescent="0.25">
      <c r="A11" s="112"/>
      <c r="B11" s="20">
        <v>18</v>
      </c>
      <c r="C11" s="21">
        <f>COUNTIF('Categoria C'!$C$2:$C$11,B11)</f>
        <v>0</v>
      </c>
      <c r="D11" s="113"/>
      <c r="E11" s="102"/>
      <c r="F11" s="115"/>
      <c r="G11" s="107"/>
      <c r="H11" s="108"/>
      <c r="I11" s="106"/>
    </row>
    <row r="12" spans="1:9" x14ac:dyDescent="0.25">
      <c r="A12" s="112" t="s">
        <v>14</v>
      </c>
      <c r="B12" s="20">
        <v>36</v>
      </c>
      <c r="C12" s="21">
        <v>0</v>
      </c>
      <c r="D12" s="113">
        <f>C12+(C13/36*B13)+(C14/36*B14)+(C15/36*B15)</f>
        <v>0</v>
      </c>
      <c r="E12" s="102">
        <v>1.1000000000000001</v>
      </c>
      <c r="F12" s="114">
        <f>D12*E12</f>
        <v>0</v>
      </c>
      <c r="G12" s="107">
        <f t="shared" ref="G12" si="2">$G$1*E12</f>
        <v>1291.1173988764046</v>
      </c>
      <c r="H12" s="108">
        <f t="shared" ref="H12" si="3">$G$1*F12</f>
        <v>0</v>
      </c>
      <c r="I12" s="103">
        <f>H12-'Categoria B3'!F4</f>
        <v>0</v>
      </c>
    </row>
    <row r="13" spans="1:9" x14ac:dyDescent="0.25">
      <c r="A13" s="112"/>
      <c r="B13" s="20">
        <v>30</v>
      </c>
      <c r="C13" s="21">
        <v>0</v>
      </c>
      <c r="D13" s="113"/>
      <c r="E13" s="102"/>
      <c r="F13" s="114"/>
      <c r="G13" s="107"/>
      <c r="H13" s="108"/>
      <c r="I13" s="103"/>
    </row>
    <row r="14" spans="1:9" x14ac:dyDescent="0.25">
      <c r="A14" s="112"/>
      <c r="B14" s="20">
        <v>24</v>
      </c>
      <c r="C14" s="21">
        <f>COUNTIF('Categoria B3'!$C$2:$C$10,B14)</f>
        <v>0</v>
      </c>
      <c r="D14" s="113"/>
      <c r="E14" s="102"/>
      <c r="F14" s="115"/>
      <c r="G14" s="107"/>
      <c r="H14" s="108"/>
      <c r="I14" s="103"/>
    </row>
    <row r="15" spans="1:9" x14ac:dyDescent="0.25">
      <c r="A15" s="112"/>
      <c r="B15" s="20">
        <v>18</v>
      </c>
      <c r="C15" s="21">
        <v>0</v>
      </c>
      <c r="D15" s="113"/>
      <c r="E15" s="102"/>
      <c r="F15" s="115"/>
      <c r="G15" s="107"/>
      <c r="H15" s="108"/>
      <c r="I15" s="103"/>
    </row>
    <row r="16" spans="1:9" x14ac:dyDescent="0.25">
      <c r="A16" s="112" t="s">
        <v>4</v>
      </c>
      <c r="B16" s="20">
        <v>36</v>
      </c>
      <c r="C16" s="21">
        <v>0</v>
      </c>
      <c r="D16" s="113">
        <f>C16+(C17/36*B17)+(C18/36*B18)+(C19/36*B19)</f>
        <v>0</v>
      </c>
      <c r="E16" s="102">
        <v>1</v>
      </c>
      <c r="F16" s="114">
        <f>D16*E16</f>
        <v>0</v>
      </c>
      <c r="G16" s="107">
        <f t="shared" ref="G16" si="4">$G$1*E16</f>
        <v>1173.7430898876405</v>
      </c>
      <c r="H16" s="108">
        <f t="shared" ref="H16" si="5">$G$1*F16</f>
        <v>0</v>
      </c>
      <c r="I16" s="103">
        <f>H16-'Categoria B1'!F3</f>
        <v>0</v>
      </c>
    </row>
    <row r="17" spans="1:9" x14ac:dyDescent="0.25">
      <c r="A17" s="112"/>
      <c r="B17" s="20">
        <v>30</v>
      </c>
      <c r="C17" s="21">
        <f>COUNTIF('Liquidazione produttività'!$C$15:$C$15,B5)</f>
        <v>0</v>
      </c>
      <c r="D17" s="113"/>
      <c r="E17" s="102"/>
      <c r="F17" s="114"/>
      <c r="G17" s="107"/>
      <c r="H17" s="108"/>
      <c r="I17" s="103"/>
    </row>
    <row r="18" spans="1:9" x14ac:dyDescent="0.25">
      <c r="A18" s="112"/>
      <c r="B18" s="20">
        <v>25</v>
      </c>
      <c r="C18" s="21">
        <v>0</v>
      </c>
      <c r="D18" s="113"/>
      <c r="E18" s="102"/>
      <c r="F18" s="115"/>
      <c r="G18" s="107"/>
      <c r="H18" s="108"/>
      <c r="I18" s="103"/>
    </row>
    <row r="19" spans="1:9" x14ac:dyDescent="0.25">
      <c r="A19" s="112"/>
      <c r="B19" s="20">
        <v>18</v>
      </c>
      <c r="C19" s="21">
        <v>0</v>
      </c>
      <c r="D19" s="113"/>
      <c r="E19" s="102"/>
      <c r="F19" s="115"/>
      <c r="G19" s="107"/>
      <c r="H19" s="108"/>
      <c r="I19" s="103"/>
    </row>
    <row r="20" spans="1:9" x14ac:dyDescent="0.25">
      <c r="C20" s="9">
        <f>SUM(C3:C19)</f>
        <v>8</v>
      </c>
      <c r="D20" s="9">
        <f>SUM(D3:D19)</f>
        <v>6.5833333333333339</v>
      </c>
      <c r="F20" s="9">
        <f>SUM(F3:F19)</f>
        <v>8.1583333333333332</v>
      </c>
      <c r="H20" s="12">
        <f>SUM(H3:H19)</f>
        <v>9575.7873749999999</v>
      </c>
      <c r="I20" s="12">
        <f>SUM(I3:I19)</f>
        <v>781.78277084269666</v>
      </c>
    </row>
    <row r="21" spans="1:9" x14ac:dyDescent="0.25">
      <c r="H21" s="11"/>
    </row>
  </sheetData>
  <mergeCells count="29">
    <mergeCell ref="A1:F1"/>
    <mergeCell ref="A12:A15"/>
    <mergeCell ref="A16:A19"/>
    <mergeCell ref="D3:D7"/>
    <mergeCell ref="D8:D11"/>
    <mergeCell ref="D12:D15"/>
    <mergeCell ref="D16:D19"/>
    <mergeCell ref="A3:A7"/>
    <mergeCell ref="A8:A11"/>
    <mergeCell ref="E12:E15"/>
    <mergeCell ref="E16:E19"/>
    <mergeCell ref="F3:F7"/>
    <mergeCell ref="F8:F11"/>
    <mergeCell ref="F12:F15"/>
    <mergeCell ref="F16:F19"/>
    <mergeCell ref="E3:E7"/>
    <mergeCell ref="E8:E11"/>
    <mergeCell ref="I3:I7"/>
    <mergeCell ref="I8:I11"/>
    <mergeCell ref="I12:I15"/>
    <mergeCell ref="I16:I19"/>
    <mergeCell ref="G3:G7"/>
    <mergeCell ref="G8:G11"/>
    <mergeCell ref="G12:G15"/>
    <mergeCell ref="G16:G19"/>
    <mergeCell ref="H3:H7"/>
    <mergeCell ref="H8:H11"/>
    <mergeCell ref="H12:H15"/>
    <mergeCell ref="H16:H1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B9" sqref="B9"/>
    </sheetView>
  </sheetViews>
  <sheetFormatPr defaultRowHeight="12.75" x14ac:dyDescent="0.2"/>
  <cols>
    <col min="1" max="1" width="17.42578125" style="17" bestFit="1" customWidth="1"/>
    <col min="2" max="2" width="12" style="17" customWidth="1"/>
    <col min="3" max="3" width="10.140625" style="17" bestFit="1" customWidth="1"/>
    <col min="4" max="4" width="12.28515625" style="17" bestFit="1" customWidth="1"/>
    <col min="5" max="5" width="9.28515625" style="17" bestFit="1" customWidth="1"/>
    <col min="6" max="6" width="11.42578125" style="17" customWidth="1"/>
    <col min="7" max="8" width="11.28515625" style="17" customWidth="1"/>
    <col min="9" max="9" width="10.85546875" style="17" bestFit="1" customWidth="1"/>
    <col min="10" max="16384" width="9.140625" style="17"/>
  </cols>
  <sheetData>
    <row r="1" spans="1:9" s="70" customFormat="1" ht="51" x14ac:dyDescent="0.25">
      <c r="A1" s="13" t="s">
        <v>0</v>
      </c>
      <c r="B1" s="14" t="s">
        <v>8</v>
      </c>
      <c r="C1" s="15" t="s">
        <v>7</v>
      </c>
      <c r="D1" s="16" t="s">
        <v>11</v>
      </c>
      <c r="E1" s="25" t="s">
        <v>6</v>
      </c>
      <c r="F1" s="53" t="s">
        <v>40</v>
      </c>
      <c r="G1" s="68" t="s">
        <v>34</v>
      </c>
      <c r="H1" s="68" t="s">
        <v>26</v>
      </c>
      <c r="I1" s="69" t="s">
        <v>27</v>
      </c>
    </row>
    <row r="2" spans="1:9" x14ac:dyDescent="0.2">
      <c r="A2" s="2" t="s">
        <v>44</v>
      </c>
      <c r="B2" s="3" t="s">
        <v>2</v>
      </c>
      <c r="C2" s="3">
        <v>36</v>
      </c>
      <c r="D2" s="4">
        <v>98.5</v>
      </c>
      <c r="E2" s="4">
        <f t="shared" ref="E2:E4" si="0">IF(D2&gt;85,D2)+IF(AND(D2&lt;86,D2&gt;70),80)+IF(AND(D2&lt;71,D2&gt;50),60)</f>
        <v>98.5</v>
      </c>
      <c r="F2" s="29">
        <f>ROUND(('Conteggio personale'!$G$3*E2%)/36*C2,2)</f>
        <v>1502.98</v>
      </c>
      <c r="G2" s="55"/>
      <c r="H2" s="33">
        <f>+F2/365*G2</f>
        <v>0</v>
      </c>
      <c r="I2" s="36">
        <f>F2-H2</f>
        <v>1502.98</v>
      </c>
    </row>
    <row r="3" spans="1:9" x14ac:dyDescent="0.2">
      <c r="A3" s="2" t="s">
        <v>45</v>
      </c>
      <c r="B3" s="3" t="s">
        <v>1</v>
      </c>
      <c r="C3" s="3">
        <f>ROUND(36/12*4.33,0)</f>
        <v>13</v>
      </c>
      <c r="D3" s="4">
        <v>86.5</v>
      </c>
      <c r="E3" s="4">
        <f t="shared" ref="E3" si="1">IF(D3&gt;85,D3)+IF(AND(D3&lt;86,D3&gt;70),80)+IF(AND(D3&lt;71,D3&gt;50),60)</f>
        <v>86.5</v>
      </c>
      <c r="F3" s="29">
        <f>ROUND(('Conteggio personale'!$G$3*E3%)/36*C3,2)</f>
        <v>476.62</v>
      </c>
      <c r="G3" s="55"/>
      <c r="H3" s="33">
        <f>+F3/365*G3</f>
        <v>0</v>
      </c>
      <c r="I3" s="36">
        <f>F3-H3</f>
        <v>476.62</v>
      </c>
    </row>
    <row r="4" spans="1:9" x14ac:dyDescent="0.2">
      <c r="A4" s="2" t="s">
        <v>46</v>
      </c>
      <c r="B4" s="3" t="s">
        <v>2</v>
      </c>
      <c r="C4" s="3">
        <v>28</v>
      </c>
      <c r="D4" s="4">
        <v>78</v>
      </c>
      <c r="E4" s="4">
        <f t="shared" si="0"/>
        <v>80</v>
      </c>
      <c r="F4" s="29">
        <f>(('Conteggio personale'!$G$3*E4%)/36*C4)/12*11+('Conteggio personale'!$G$3*E4%)/12*1</f>
        <v>972.03316629213498</v>
      </c>
      <c r="G4" s="55"/>
      <c r="H4" s="33">
        <f>+F4/365*G4</f>
        <v>0</v>
      </c>
      <c r="I4" s="36">
        <f>F4-H4</f>
        <v>972.03316629213498</v>
      </c>
    </row>
    <row r="5" spans="1:9" x14ac:dyDescent="0.2">
      <c r="A5" s="2" t="s">
        <v>47</v>
      </c>
      <c r="B5" s="3" t="s">
        <v>1</v>
      </c>
      <c r="C5" s="91">
        <f>ROUND(18/12*10.37,0)</f>
        <v>16</v>
      </c>
      <c r="D5" s="4">
        <v>92</v>
      </c>
      <c r="E5" s="4">
        <f t="shared" ref="E5" si="2">IF(D5&gt;85,D5)+IF(AND(D5&lt;86,D5&gt;70),80)+IF(AND(D5&lt;71,D5&gt;50),60)</f>
        <v>92</v>
      </c>
      <c r="F5" s="29">
        <f>('Conteggio personale'!$G$3*E5%)/36*C5</f>
        <v>623.90966022471923</v>
      </c>
      <c r="G5" s="55"/>
      <c r="H5" s="33">
        <f>+F5/365*G5</f>
        <v>0</v>
      </c>
      <c r="I5" s="36">
        <f>F5-H5</f>
        <v>623.90966022471923</v>
      </c>
    </row>
    <row r="6" spans="1:9" x14ac:dyDescent="0.2">
      <c r="F6" s="97">
        <f t="shared" ref="F6:H6" si="3">SUM(F2:F5)</f>
        <v>3575.5428265168539</v>
      </c>
      <c r="G6" s="98">
        <f t="shared" si="3"/>
        <v>0</v>
      </c>
      <c r="H6" s="97">
        <f t="shared" si="3"/>
        <v>0</v>
      </c>
      <c r="I6" s="97">
        <f>SUM(I2:I5)</f>
        <v>3575.5428265168539</v>
      </c>
    </row>
    <row r="12" spans="1:9" x14ac:dyDescent="0.2">
      <c r="C12" s="8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"/>
  <sheetViews>
    <sheetView workbookViewId="0">
      <selection activeCell="A8" sqref="A8"/>
    </sheetView>
  </sheetViews>
  <sheetFormatPr defaultRowHeight="12.75" x14ac:dyDescent="0.2"/>
  <cols>
    <col min="1" max="1" width="20.85546875" style="17" bestFit="1" customWidth="1"/>
    <col min="2" max="2" width="12.7109375" style="17" customWidth="1"/>
    <col min="3" max="3" width="6.85546875" style="17" bestFit="1" customWidth="1"/>
    <col min="4" max="4" width="11.42578125" style="17" customWidth="1"/>
    <col min="5" max="5" width="9.85546875" style="17" customWidth="1"/>
    <col min="6" max="6" width="13.28515625" style="17" customWidth="1"/>
    <col min="7" max="8" width="11.85546875" style="17" customWidth="1"/>
    <col min="9" max="9" width="12.140625" style="17" bestFit="1" customWidth="1"/>
    <col min="10" max="16384" width="9.140625" style="17"/>
  </cols>
  <sheetData>
    <row r="1" spans="1:9" s="70" customFormat="1" ht="51" x14ac:dyDescent="0.25">
      <c r="A1" s="13" t="s">
        <v>0</v>
      </c>
      <c r="B1" s="14" t="s">
        <v>9</v>
      </c>
      <c r="C1" s="15" t="s">
        <v>7</v>
      </c>
      <c r="D1" s="18" t="s">
        <v>5</v>
      </c>
      <c r="E1" s="25" t="s">
        <v>6</v>
      </c>
      <c r="F1" s="53" t="s">
        <v>40</v>
      </c>
      <c r="G1" s="68" t="s">
        <v>33</v>
      </c>
      <c r="H1" s="68" t="s">
        <v>26</v>
      </c>
      <c r="I1" s="69" t="s">
        <v>27</v>
      </c>
    </row>
    <row r="2" spans="1:9" x14ac:dyDescent="0.2">
      <c r="A2" s="2" t="s">
        <v>48</v>
      </c>
      <c r="B2" s="3" t="s">
        <v>38</v>
      </c>
      <c r="C2" s="3">
        <v>36</v>
      </c>
      <c r="D2" s="5">
        <v>98.5</v>
      </c>
      <c r="E2" s="6">
        <f t="shared" ref="E2:E5" si="0">IF(D2&gt;85,D2)+IF(AND(D2&lt;86,D2&gt;70),80)+IF(AND(D2&lt;71,D2&gt;50),60)</f>
        <v>98.5</v>
      </c>
      <c r="F2" s="54">
        <f>('Conteggio personale'!$G$8*E2%)/36*C2</f>
        <v>1387.364332247191</v>
      </c>
      <c r="G2" s="55"/>
      <c r="H2" s="33">
        <f>F2/365*G2</f>
        <v>0</v>
      </c>
      <c r="I2" s="36">
        <f>F2-H2</f>
        <v>1387.364332247191</v>
      </c>
    </row>
    <row r="3" spans="1:9" x14ac:dyDescent="0.2">
      <c r="A3" s="2" t="s">
        <v>49</v>
      </c>
      <c r="B3" s="3" t="s">
        <v>3</v>
      </c>
      <c r="C3" s="3">
        <v>36</v>
      </c>
      <c r="D3" s="5">
        <v>88</v>
      </c>
      <c r="E3" s="6">
        <f t="shared" ref="E3" si="1">IF(D3&gt;85,D3)+IF(AND(D3&lt;86,D3&gt;70),80)+IF(AND(D3&lt;71,D3&gt;50),60)</f>
        <v>88</v>
      </c>
      <c r="F3" s="54">
        <f>('Conteggio personale'!$G$8*E3%)/36*C3</f>
        <v>1239.4727029213484</v>
      </c>
      <c r="G3" s="55"/>
      <c r="H3" s="33">
        <f>F3/365*G3</f>
        <v>0</v>
      </c>
      <c r="I3" s="36">
        <f>F3-H3</f>
        <v>1239.4727029213484</v>
      </c>
    </row>
    <row r="4" spans="1:9" x14ac:dyDescent="0.2">
      <c r="A4" s="2" t="s">
        <v>50</v>
      </c>
      <c r="B4" s="3" t="s">
        <v>38</v>
      </c>
      <c r="C4" s="3">
        <v>36</v>
      </c>
      <c r="D4" s="2">
        <v>92</v>
      </c>
      <c r="E4" s="4">
        <f t="shared" si="0"/>
        <v>92</v>
      </c>
      <c r="F4" s="54">
        <f>('Conteggio personale'!$G$8*E4%)/36*C4</f>
        <v>1295.8123712359552</v>
      </c>
      <c r="G4" s="55"/>
      <c r="H4" s="33">
        <f>F4/365*G4</f>
        <v>0</v>
      </c>
      <c r="I4" s="36">
        <f t="shared" ref="I4:I5" si="2">F4-H4</f>
        <v>1295.8123712359552</v>
      </c>
    </row>
    <row r="5" spans="1:9" x14ac:dyDescent="0.2">
      <c r="A5" s="2" t="s">
        <v>51</v>
      </c>
      <c r="B5" s="3" t="s">
        <v>38</v>
      </c>
      <c r="C5" s="3">
        <v>36</v>
      </c>
      <c r="D5" s="5">
        <v>92</v>
      </c>
      <c r="E5" s="6">
        <f t="shared" si="0"/>
        <v>92</v>
      </c>
      <c r="F5" s="54">
        <f>('Conteggio personale'!$G$8*E5%)/36*C5</f>
        <v>1295.8123712359552</v>
      </c>
      <c r="G5" s="55">
        <v>6</v>
      </c>
      <c r="H5" s="33">
        <f>ROUND(F5/365*G5,2)</f>
        <v>21.3</v>
      </c>
      <c r="I5" s="36">
        <f t="shared" si="2"/>
        <v>1274.5123712359552</v>
      </c>
    </row>
    <row r="6" spans="1:9" x14ac:dyDescent="0.2">
      <c r="F6" s="36">
        <f>SUM(F2:F5)</f>
        <v>5218.4617776404502</v>
      </c>
      <c r="G6" s="76">
        <f>SUM(G2:G5)</f>
        <v>6</v>
      </c>
      <c r="H6" s="36">
        <f>SUM(H2:H5)</f>
        <v>21.3</v>
      </c>
      <c r="I6" s="36">
        <f>SUM(I2:I5)</f>
        <v>5197.1617776404501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workbookViewId="0">
      <selection activeCell="F2" sqref="F2"/>
    </sheetView>
  </sheetViews>
  <sheetFormatPr defaultRowHeight="12.75" x14ac:dyDescent="0.2"/>
  <cols>
    <col min="1" max="1" width="20.5703125" style="17" customWidth="1"/>
    <col min="2" max="2" width="11.85546875" style="17" customWidth="1"/>
    <col min="3" max="3" width="9.28515625" style="17" bestFit="1" customWidth="1"/>
    <col min="4" max="4" width="11.42578125" style="17" customWidth="1"/>
    <col min="5" max="5" width="9.28515625" style="17" bestFit="1" customWidth="1"/>
    <col min="6" max="6" width="12.85546875" style="17" customWidth="1"/>
    <col min="7" max="8" width="11.28515625" style="17" customWidth="1"/>
    <col min="9" max="9" width="12.140625" style="17" bestFit="1" customWidth="1"/>
    <col min="10" max="16384" width="9.140625" style="17"/>
  </cols>
  <sheetData>
    <row r="1" spans="1:9" s="79" customFormat="1" ht="51" x14ac:dyDescent="0.25">
      <c r="A1" s="13" t="s">
        <v>0</v>
      </c>
      <c r="B1" s="14" t="s">
        <v>10</v>
      </c>
      <c r="C1" s="15" t="s">
        <v>7</v>
      </c>
      <c r="D1" s="18" t="s">
        <v>5</v>
      </c>
      <c r="E1" s="25" t="s">
        <v>6</v>
      </c>
      <c r="F1" s="53" t="s">
        <v>40</v>
      </c>
      <c r="G1" s="68" t="s">
        <v>34</v>
      </c>
      <c r="H1" s="68" t="s">
        <v>26</v>
      </c>
      <c r="I1" s="69" t="s">
        <v>27</v>
      </c>
    </row>
    <row r="2" spans="1:9" x14ac:dyDescent="0.2">
      <c r="A2" s="1"/>
      <c r="B2" s="1"/>
      <c r="C2" s="1"/>
      <c r="D2" s="4"/>
      <c r="E2" s="4"/>
      <c r="F2" s="54"/>
      <c r="G2" s="77"/>
      <c r="H2" s="33"/>
      <c r="I2" s="36"/>
    </row>
    <row r="3" spans="1:9" ht="13.5" thickBot="1" x14ac:dyDescent="0.25">
      <c r="A3" s="1"/>
      <c r="B3" s="1"/>
      <c r="C3" s="1"/>
      <c r="D3" s="4"/>
      <c r="E3" s="4"/>
      <c r="F3" s="54"/>
      <c r="G3" s="77"/>
      <c r="H3" s="33"/>
      <c r="I3" s="36"/>
    </row>
    <row r="4" spans="1:9" ht="13.5" thickBot="1" x14ac:dyDescent="0.25">
      <c r="F4" s="72">
        <f>SUM(F2:F3)</f>
        <v>0</v>
      </c>
      <c r="G4" s="78">
        <f>SUM(G2:G3)</f>
        <v>0</v>
      </c>
      <c r="H4" s="72">
        <f>SUM(H2:H3)</f>
        <v>0</v>
      </c>
      <c r="I4" s="72">
        <f>SUM(I2:I3)</f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"/>
  <sheetViews>
    <sheetView workbookViewId="0">
      <selection activeCell="F2" sqref="F2"/>
    </sheetView>
  </sheetViews>
  <sheetFormatPr defaultColWidth="8.85546875" defaultRowHeight="12.75" x14ac:dyDescent="0.2"/>
  <cols>
    <col min="1" max="1" width="18.7109375" style="17" bestFit="1" customWidth="1"/>
    <col min="2" max="2" width="13" style="17" customWidth="1"/>
    <col min="3" max="3" width="6.85546875" style="17" bestFit="1" customWidth="1"/>
    <col min="4" max="4" width="12.42578125" style="17" customWidth="1"/>
    <col min="5" max="5" width="9.140625" style="17" customWidth="1"/>
    <col min="6" max="6" width="11.42578125" style="17" customWidth="1"/>
    <col min="7" max="7" width="9.28515625" style="17" customWidth="1"/>
    <col min="8" max="8" width="10.28515625" style="17" customWidth="1"/>
    <col min="9" max="9" width="12.140625" style="74" bestFit="1" customWidth="1"/>
    <col min="10" max="16384" width="8.85546875" style="17"/>
  </cols>
  <sheetData>
    <row r="1" spans="1:9" s="70" customFormat="1" ht="63.75" x14ac:dyDescent="0.25">
      <c r="A1" s="13" t="s">
        <v>0</v>
      </c>
      <c r="B1" s="14" t="s">
        <v>28</v>
      </c>
      <c r="C1" s="15" t="s">
        <v>7</v>
      </c>
      <c r="D1" s="16" t="s">
        <v>11</v>
      </c>
      <c r="E1" s="25" t="s">
        <v>6</v>
      </c>
      <c r="F1" s="53" t="s">
        <v>40</v>
      </c>
      <c r="G1" s="68" t="s">
        <v>34</v>
      </c>
      <c r="H1" s="68" t="s">
        <v>26</v>
      </c>
      <c r="I1" s="69" t="s">
        <v>27</v>
      </c>
    </row>
    <row r="2" spans="1:9" x14ac:dyDescent="0.2">
      <c r="A2" s="56"/>
      <c r="B2" s="56"/>
      <c r="C2" s="56"/>
      <c r="D2" s="6"/>
      <c r="E2" s="6"/>
      <c r="F2" s="54"/>
      <c r="G2" s="80"/>
      <c r="H2" s="33"/>
      <c r="I2" s="73"/>
    </row>
    <row r="3" spans="1:9" x14ac:dyDescent="0.2">
      <c r="F3" s="36">
        <f>SUM(F2:F2)</f>
        <v>0</v>
      </c>
      <c r="G3" s="81">
        <f>SUM(G2:G2)</f>
        <v>0</v>
      </c>
      <c r="H3" s="36">
        <f>SUM(H2:H2)</f>
        <v>0</v>
      </c>
      <c r="I3" s="36">
        <f>SUM(I2:I2)</f>
        <v>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workbookViewId="0">
      <selection activeCell="A9" sqref="A9"/>
    </sheetView>
  </sheetViews>
  <sheetFormatPr defaultRowHeight="15" x14ac:dyDescent="0.25"/>
  <cols>
    <col min="1" max="1" width="21.140625" bestFit="1" customWidth="1"/>
    <col min="2" max="2" width="13.140625" customWidth="1"/>
    <col min="4" max="4" width="13.42578125" customWidth="1"/>
    <col min="6" max="6" width="12" style="42" bestFit="1" customWidth="1"/>
    <col min="7" max="7" width="9.140625" style="67"/>
    <col min="8" max="8" width="12.140625" style="42" customWidth="1"/>
    <col min="9" max="9" width="11" style="42" bestFit="1" customWidth="1"/>
    <col min="10" max="11" width="11" bestFit="1" customWidth="1"/>
  </cols>
  <sheetData>
    <row r="1" spans="1:11" ht="38.25" x14ac:dyDescent="0.25">
      <c r="A1" s="57" t="s">
        <v>0</v>
      </c>
      <c r="B1" s="58" t="s">
        <v>8</v>
      </c>
      <c r="C1" s="59" t="s">
        <v>7</v>
      </c>
      <c r="D1" s="60" t="s">
        <v>11</v>
      </c>
      <c r="E1" s="61" t="s">
        <v>6</v>
      </c>
      <c r="F1" s="62" t="s">
        <v>40</v>
      </c>
      <c r="G1" s="65" t="s">
        <v>34</v>
      </c>
      <c r="H1" s="64" t="s">
        <v>26</v>
      </c>
      <c r="I1" s="83" t="s">
        <v>27</v>
      </c>
      <c r="J1" s="90" t="s">
        <v>36</v>
      </c>
      <c r="K1" s="86" t="s">
        <v>37</v>
      </c>
    </row>
    <row r="2" spans="1:11" x14ac:dyDescent="0.25">
      <c r="A2" s="63" t="str">
        <f>+'Categoria D'!A2</f>
        <v>002991-000011/001</v>
      </c>
      <c r="B2" s="63" t="str">
        <f>+'Categoria D'!B2</f>
        <v>D2</v>
      </c>
      <c r="C2" s="63">
        <f>+'Categoria D'!C2</f>
        <v>36</v>
      </c>
      <c r="D2" s="63">
        <f>+'Categoria D'!D2</f>
        <v>98.5</v>
      </c>
      <c r="E2" s="63">
        <f>+'Categoria D'!E2</f>
        <v>98.5</v>
      </c>
      <c r="F2" s="43">
        <f>+'Categoria D'!F2</f>
        <v>1502.98</v>
      </c>
      <c r="G2" s="66">
        <f>+'Categoria D'!G2</f>
        <v>0</v>
      </c>
      <c r="H2" s="43">
        <f>+'Categoria D'!H2</f>
        <v>0</v>
      </c>
      <c r="I2" s="84">
        <f>+'Categoria D'!I2</f>
        <v>1502.98</v>
      </c>
      <c r="J2" s="43"/>
      <c r="K2" s="87">
        <f>SUM(I2:J2)</f>
        <v>1502.98</v>
      </c>
    </row>
    <row r="3" spans="1:11" x14ac:dyDescent="0.25">
      <c r="A3" s="63" t="str">
        <f>+'Categoria D'!A3</f>
        <v xml:space="preserve"> 002991-000064/001</v>
      </c>
      <c r="B3" s="63" t="str">
        <f>+'Categoria D'!B3</f>
        <v>D1</v>
      </c>
      <c r="C3" s="63">
        <f>+'Categoria D'!C3</f>
        <v>13</v>
      </c>
      <c r="D3" s="63">
        <f>+'Categoria D'!D3</f>
        <v>86.5</v>
      </c>
      <c r="E3" s="63">
        <f>+'Categoria D'!E3</f>
        <v>86.5</v>
      </c>
      <c r="F3" s="43">
        <f>+'Categoria D'!F3</f>
        <v>476.62</v>
      </c>
      <c r="G3" s="66">
        <f>+'Categoria D'!G3</f>
        <v>0</v>
      </c>
      <c r="H3" s="43">
        <f>+'Categoria D'!H3</f>
        <v>0</v>
      </c>
      <c r="I3" s="84">
        <f>+'Categoria D'!I3</f>
        <v>476.62</v>
      </c>
      <c r="J3" s="43"/>
      <c r="K3" s="87">
        <f>SUM(I3:J3)</f>
        <v>476.62</v>
      </c>
    </row>
    <row r="4" spans="1:11" x14ac:dyDescent="0.25">
      <c r="A4" s="63" t="str">
        <f>+'Categoria D'!A4</f>
        <v>002991-000008/001</v>
      </c>
      <c r="B4" s="63" t="str">
        <f>+'Categoria D'!B4</f>
        <v>D2</v>
      </c>
      <c r="C4" s="63">
        <f>+'Categoria D'!C4</f>
        <v>28</v>
      </c>
      <c r="D4" s="63">
        <f>+'Categoria D'!D4</f>
        <v>78</v>
      </c>
      <c r="E4" s="63">
        <f>+'Categoria D'!E4</f>
        <v>80</v>
      </c>
      <c r="F4" s="43">
        <f>+'Categoria D'!F4</f>
        <v>972.03316629213498</v>
      </c>
      <c r="G4" s="66">
        <f>+'Categoria D'!G4</f>
        <v>0</v>
      </c>
      <c r="H4" s="43">
        <f>+'Categoria D'!H4</f>
        <v>0</v>
      </c>
      <c r="I4" s="84">
        <f>+'Categoria D'!I4</f>
        <v>972.03316629213498</v>
      </c>
      <c r="J4" s="63"/>
      <c r="K4" s="87">
        <f t="shared" ref="K4:K12" si="0">SUM(I4:J4)</f>
        <v>972.03316629213498</v>
      </c>
    </row>
    <row r="5" spans="1:11" x14ac:dyDescent="0.25">
      <c r="A5" s="63" t="str">
        <f>+'Categoria D'!A5</f>
        <v>002991-000065/002</v>
      </c>
      <c r="B5" s="63" t="str">
        <f>+'Categoria D'!B5</f>
        <v>D1</v>
      </c>
      <c r="C5" s="63">
        <f>+'Categoria D'!C5</f>
        <v>16</v>
      </c>
      <c r="D5" s="63">
        <f>+'Categoria D'!D5</f>
        <v>92</v>
      </c>
      <c r="E5" s="63">
        <f>+'Categoria D'!E5</f>
        <v>92</v>
      </c>
      <c r="F5" s="43">
        <f>+'Categoria D'!F5</f>
        <v>623.90966022471923</v>
      </c>
      <c r="G5" s="66">
        <f>+'Categoria D'!G5</f>
        <v>0</v>
      </c>
      <c r="H5" s="43">
        <f>+'Categoria D'!H5</f>
        <v>0</v>
      </c>
      <c r="I5" s="84">
        <f>+'Categoria D'!I5</f>
        <v>623.90966022471923</v>
      </c>
      <c r="J5" s="63"/>
      <c r="K5" s="87">
        <f t="shared" ref="K5" si="1">SUM(I5:J5)</f>
        <v>623.90966022471923</v>
      </c>
    </row>
    <row r="6" spans="1:11" x14ac:dyDescent="0.25">
      <c r="A6" s="63" t="str">
        <f>+'Categoria C'!A2</f>
        <v>002991-000017/001</v>
      </c>
      <c r="B6" s="63" t="str">
        <f>+'Categoria C'!B2</f>
        <v>C2</v>
      </c>
      <c r="C6" s="63">
        <f>+'Categoria C'!C2</f>
        <v>36</v>
      </c>
      <c r="D6" s="63">
        <f>+'Categoria C'!D2</f>
        <v>98.5</v>
      </c>
      <c r="E6" s="63">
        <f>+'Categoria C'!E2</f>
        <v>98.5</v>
      </c>
      <c r="F6" s="43">
        <f>+'Categoria C'!F2</f>
        <v>1387.364332247191</v>
      </c>
      <c r="G6" s="66">
        <f>+'Categoria C'!G2</f>
        <v>0</v>
      </c>
      <c r="H6" s="43">
        <f>+'Categoria C'!H2</f>
        <v>0</v>
      </c>
      <c r="I6" s="84">
        <f>+'Categoria C'!I2</f>
        <v>1387.364332247191</v>
      </c>
      <c r="J6" s="63"/>
      <c r="K6" s="87">
        <f t="shared" si="0"/>
        <v>1387.364332247191</v>
      </c>
    </row>
    <row r="7" spans="1:11" x14ac:dyDescent="0.25">
      <c r="A7" s="63" t="str">
        <f>+'Categoria C'!A3</f>
        <v>002991-000056/002</v>
      </c>
      <c r="B7" s="63" t="str">
        <f>+'Categoria C'!B3</f>
        <v>C1</v>
      </c>
      <c r="C7" s="63">
        <f>+'Categoria C'!C3</f>
        <v>36</v>
      </c>
      <c r="D7" s="63">
        <f>+'Categoria C'!D3</f>
        <v>88</v>
      </c>
      <c r="E7" s="63">
        <f>+'Categoria C'!E3</f>
        <v>88</v>
      </c>
      <c r="F7" s="43">
        <f>+'Categoria C'!F3</f>
        <v>1239.4727029213484</v>
      </c>
      <c r="G7" s="66">
        <f>+'Categoria C'!G3</f>
        <v>0</v>
      </c>
      <c r="H7" s="43">
        <f>+'Categoria C'!H3</f>
        <v>0</v>
      </c>
      <c r="I7" s="84">
        <f>+'Categoria C'!I3</f>
        <v>1239.4727029213484</v>
      </c>
      <c r="J7" s="63"/>
      <c r="K7" s="87">
        <f t="shared" si="0"/>
        <v>1239.4727029213484</v>
      </c>
    </row>
    <row r="8" spans="1:11" x14ac:dyDescent="0.25">
      <c r="A8" s="63" t="str">
        <f>+'Categoria C'!A4</f>
        <v>002991-000004/001</v>
      </c>
      <c r="B8" s="63" t="str">
        <f>+'Categoria C'!B4</f>
        <v>C2</v>
      </c>
      <c r="C8" s="63">
        <f>+'Categoria C'!C4</f>
        <v>36</v>
      </c>
      <c r="D8" s="63">
        <f>+'Categoria C'!D4</f>
        <v>92</v>
      </c>
      <c r="E8" s="63">
        <f>+'Categoria C'!E4</f>
        <v>92</v>
      </c>
      <c r="F8" s="43">
        <f>+'Categoria C'!F4</f>
        <v>1295.8123712359552</v>
      </c>
      <c r="G8" s="66">
        <f>+'Categoria C'!G4</f>
        <v>0</v>
      </c>
      <c r="H8" s="43">
        <f>+'Categoria C'!H4</f>
        <v>0</v>
      </c>
      <c r="I8" s="84">
        <f>+'Categoria C'!I4</f>
        <v>1295.8123712359552</v>
      </c>
      <c r="J8" s="63"/>
      <c r="K8" s="87">
        <f t="shared" si="0"/>
        <v>1295.8123712359552</v>
      </c>
    </row>
    <row r="9" spans="1:11" x14ac:dyDescent="0.25">
      <c r="A9" s="63" t="str">
        <f>+'Categoria C'!A5</f>
        <v>002991-000012/001</v>
      </c>
      <c r="B9" s="63" t="str">
        <f>+'Categoria C'!B5</f>
        <v>C2</v>
      </c>
      <c r="C9" s="63">
        <f>+'Categoria C'!C5</f>
        <v>36</v>
      </c>
      <c r="D9" s="63">
        <f>+'Categoria C'!D5</f>
        <v>92</v>
      </c>
      <c r="E9" s="63">
        <f>+'Categoria C'!E5</f>
        <v>92</v>
      </c>
      <c r="F9" s="43">
        <f>+'Categoria C'!F5</f>
        <v>1295.8123712359552</v>
      </c>
      <c r="G9" s="66">
        <f>+'Categoria C'!G5</f>
        <v>6</v>
      </c>
      <c r="H9" s="43">
        <f>+'Categoria C'!H5</f>
        <v>21.3</v>
      </c>
      <c r="I9" s="84">
        <f>+'Categoria C'!I5</f>
        <v>1274.5123712359552</v>
      </c>
      <c r="J9" s="63"/>
      <c r="K9" s="87">
        <f t="shared" si="0"/>
        <v>1274.5123712359552</v>
      </c>
    </row>
    <row r="10" spans="1:11" x14ac:dyDescent="0.25">
      <c r="A10" s="63">
        <f>+'Categoria B3'!A2</f>
        <v>0</v>
      </c>
      <c r="B10" s="63">
        <f>+'Categoria B3'!B2</f>
        <v>0</v>
      </c>
      <c r="C10" s="63">
        <f>+'Categoria B3'!C2</f>
        <v>0</v>
      </c>
      <c r="D10" s="63">
        <f>+'Categoria B3'!D2</f>
        <v>0</v>
      </c>
      <c r="E10" s="63">
        <f>+'Categoria B3'!E2</f>
        <v>0</v>
      </c>
      <c r="F10" s="43">
        <f>+'Categoria B3'!F2</f>
        <v>0</v>
      </c>
      <c r="G10" s="66">
        <f>+'Categoria B3'!G2</f>
        <v>0</v>
      </c>
      <c r="H10" s="43">
        <f>+'Categoria B3'!H2</f>
        <v>0</v>
      </c>
      <c r="I10" s="84">
        <f>+'Categoria B3'!I2</f>
        <v>0</v>
      </c>
      <c r="J10" s="63"/>
      <c r="K10" s="87">
        <f t="shared" si="0"/>
        <v>0</v>
      </c>
    </row>
    <row r="11" spans="1:11" x14ac:dyDescent="0.25">
      <c r="A11" s="63">
        <f>+'Categoria B3'!A3</f>
        <v>0</v>
      </c>
      <c r="B11" s="63">
        <f>+'Categoria B3'!B3</f>
        <v>0</v>
      </c>
      <c r="C11" s="63">
        <f>+'Categoria B3'!C3</f>
        <v>0</v>
      </c>
      <c r="D11" s="63">
        <f>+'Categoria B3'!D3</f>
        <v>0</v>
      </c>
      <c r="E11" s="63">
        <f>+'Categoria B3'!E3</f>
        <v>0</v>
      </c>
      <c r="F11" s="43">
        <f>+'Categoria B3'!F3</f>
        <v>0</v>
      </c>
      <c r="G11" s="66">
        <f>+'Categoria B3'!G3</f>
        <v>0</v>
      </c>
      <c r="H11" s="43">
        <f>+'Categoria B3'!H3</f>
        <v>0</v>
      </c>
      <c r="I11" s="84">
        <f>+'Categoria B3'!I3</f>
        <v>0</v>
      </c>
      <c r="J11" s="63"/>
      <c r="K11" s="87">
        <f t="shared" si="0"/>
        <v>0</v>
      </c>
    </row>
    <row r="12" spans="1:11" x14ac:dyDescent="0.25">
      <c r="A12" s="63">
        <f>+'Categoria B1'!A2</f>
        <v>0</v>
      </c>
      <c r="B12" s="63">
        <f>+'Categoria B1'!B2</f>
        <v>0</v>
      </c>
      <c r="C12" s="63">
        <f>+'Categoria B1'!C2</f>
        <v>0</v>
      </c>
      <c r="D12" s="63">
        <f>+'Categoria B1'!D2</f>
        <v>0</v>
      </c>
      <c r="E12" s="63">
        <f>+'Categoria B1'!E2</f>
        <v>0</v>
      </c>
      <c r="F12" s="43">
        <f>+'Categoria B1'!F2</f>
        <v>0</v>
      </c>
      <c r="G12" s="66">
        <f>+'Categoria B1'!G2</f>
        <v>0</v>
      </c>
      <c r="H12" s="43">
        <f>+'Categoria B1'!H2</f>
        <v>0</v>
      </c>
      <c r="I12" s="84">
        <f>+'Categoria B1'!I2</f>
        <v>0</v>
      </c>
      <c r="J12" s="63"/>
      <c r="K12" s="87">
        <f t="shared" si="0"/>
        <v>0</v>
      </c>
    </row>
    <row r="13" spans="1:11" x14ac:dyDescent="0.25">
      <c r="F13" s="75">
        <f>SUM(F2:F12)</f>
        <v>8794.0046041573041</v>
      </c>
      <c r="G13" s="75"/>
      <c r="H13" s="75">
        <f>SUM(H2:H12)</f>
        <v>21.3</v>
      </c>
      <c r="I13" s="82">
        <f>SUM(I2:I12)</f>
        <v>8772.704604157303</v>
      </c>
      <c r="J13" s="85">
        <f>SUM(J2:J12)</f>
        <v>0</v>
      </c>
      <c r="K13" s="85">
        <f>SUM(K2:K12)</f>
        <v>8772.704604157303</v>
      </c>
    </row>
    <row r="15" spans="1:11" x14ac:dyDescent="0.25">
      <c r="J15" s="8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tabSelected="1" zoomScaleNormal="100" workbookViewId="0">
      <selection activeCell="A18" sqref="A18"/>
    </sheetView>
  </sheetViews>
  <sheetFormatPr defaultRowHeight="12.75" x14ac:dyDescent="0.2"/>
  <cols>
    <col min="1" max="1" width="20.85546875" style="17" bestFit="1" customWidth="1"/>
    <col min="2" max="2" width="11.85546875" style="17" bestFit="1" customWidth="1"/>
    <col min="3" max="3" width="10.7109375" style="17" customWidth="1"/>
    <col min="4" max="5" width="12.140625" style="17" customWidth="1"/>
    <col min="6" max="6" width="13" style="19" customWidth="1"/>
    <col min="7" max="7" width="11.85546875" style="17" customWidth="1"/>
    <col min="8" max="9" width="10.85546875" style="17" bestFit="1" customWidth="1"/>
    <col min="10" max="16384" width="9.140625" style="17"/>
  </cols>
  <sheetData>
    <row r="1" spans="1:9" ht="45" x14ac:dyDescent="0.25">
      <c r="A1" s="13" t="s">
        <v>0</v>
      </c>
      <c r="B1" s="14" t="s">
        <v>8</v>
      </c>
      <c r="C1" s="15" t="s">
        <v>7</v>
      </c>
      <c r="D1" s="16" t="s">
        <v>11</v>
      </c>
      <c r="E1" s="25" t="s">
        <v>6</v>
      </c>
      <c r="F1" s="28" t="s">
        <v>40</v>
      </c>
      <c r="G1" s="32" t="s">
        <v>26</v>
      </c>
      <c r="H1" s="35" t="s">
        <v>27</v>
      </c>
    </row>
    <row r="2" spans="1:9" x14ac:dyDescent="0.2">
      <c r="A2" s="2" t="s">
        <v>44</v>
      </c>
      <c r="B2" s="3" t="s">
        <v>2</v>
      </c>
      <c r="C2" s="3">
        <v>36</v>
      </c>
      <c r="D2" s="4">
        <f>'Categoria D'!D2</f>
        <v>98.5</v>
      </c>
      <c r="E2" s="4">
        <f t="shared" ref="E2:E4" si="0">IF(D2&gt;85,D2)+IF(AND(D2&lt;86,D2&gt;70),80)+IF(AND(D2&lt;71,D2&gt;50),60)</f>
        <v>98.5</v>
      </c>
      <c r="F2" s="29">
        <f>ROUND(('Conteggio personale'!$G$3*'Liquidazione produttività'!E2%)/36*C2,2)</f>
        <v>1502.98</v>
      </c>
      <c r="G2" s="33">
        <f>ROUND(F2/365*0,2)</f>
        <v>0</v>
      </c>
      <c r="H2" s="31">
        <f>F2-G2</f>
        <v>1502.98</v>
      </c>
    </row>
    <row r="3" spans="1:9" x14ac:dyDescent="0.2">
      <c r="A3" s="2" t="s">
        <v>52</v>
      </c>
      <c r="B3" s="3" t="s">
        <v>1</v>
      </c>
      <c r="C3" s="3">
        <f>'Categoria D'!C3</f>
        <v>13</v>
      </c>
      <c r="D3" s="4">
        <f>'Categoria D'!D3</f>
        <v>86.5</v>
      </c>
      <c r="E3" s="4">
        <f t="shared" ref="E3" si="1">IF(D3&gt;85,D3)+IF(AND(D3&lt;86,D3&gt;70),80)+IF(AND(D3&lt;71,D3&gt;50),60)</f>
        <v>86.5</v>
      </c>
      <c r="F3" s="29">
        <f>ROUND(('Conteggio personale'!$G$3*'Liquidazione produttività'!E3%)/36*C3,2)</f>
        <v>476.62</v>
      </c>
      <c r="G3" s="33">
        <f>ROUND(F3/365*0,2)</f>
        <v>0</v>
      </c>
      <c r="H3" s="31">
        <f>F3-G3</f>
        <v>476.62</v>
      </c>
    </row>
    <row r="4" spans="1:9" x14ac:dyDescent="0.2">
      <c r="A4" s="2" t="s">
        <v>46</v>
      </c>
      <c r="B4" s="3" t="s">
        <v>2</v>
      </c>
      <c r="C4" s="3">
        <v>28</v>
      </c>
      <c r="D4" s="4">
        <f>'Categoria D'!D4</f>
        <v>78</v>
      </c>
      <c r="E4" s="4">
        <f t="shared" si="0"/>
        <v>80</v>
      </c>
      <c r="F4" s="29">
        <f>ROUND('Categoria D'!I4,2)</f>
        <v>972.03</v>
      </c>
      <c r="G4" s="33">
        <f t="shared" ref="G4" si="2">ROUND(F4/365*0,2)</f>
        <v>0</v>
      </c>
      <c r="H4" s="31">
        <f t="shared" ref="H4" si="3">F4-G4</f>
        <v>972.03</v>
      </c>
    </row>
    <row r="5" spans="1:9" x14ac:dyDescent="0.2">
      <c r="A5" s="2" t="s">
        <v>53</v>
      </c>
      <c r="B5" s="3" t="s">
        <v>1</v>
      </c>
      <c r="C5" s="91">
        <f>'Categoria D'!C5</f>
        <v>16</v>
      </c>
      <c r="D5" s="4">
        <f>'Categoria D'!D5</f>
        <v>92</v>
      </c>
      <c r="E5" s="4">
        <f t="shared" ref="E5" si="4">IF(D5&gt;85,D5)+IF(AND(D5&lt;86,D5&gt;70),80)+IF(AND(D5&lt;71,D5&gt;50),60)</f>
        <v>92</v>
      </c>
      <c r="F5" s="29">
        <f>ROUND(('Conteggio personale'!$G$3*'Liquidazione produttività'!E5%)/36*C5,2)</f>
        <v>623.91</v>
      </c>
      <c r="G5" s="33">
        <f>'Categoria D'!H5</f>
        <v>0</v>
      </c>
      <c r="H5" s="31">
        <f t="shared" ref="H5" si="5">F5-G5</f>
        <v>623.91</v>
      </c>
      <c r="I5" s="71">
        <f>SUM(H2:H5)</f>
        <v>3575.54</v>
      </c>
    </row>
    <row r="6" spans="1:9" ht="45" x14ac:dyDescent="0.25">
      <c r="A6" s="13" t="s">
        <v>0</v>
      </c>
      <c r="B6" s="14" t="s">
        <v>9</v>
      </c>
      <c r="C6" s="15" t="s">
        <v>7</v>
      </c>
      <c r="D6" s="18" t="s">
        <v>5</v>
      </c>
      <c r="E6" s="25" t="s">
        <v>6</v>
      </c>
      <c r="F6" s="28" t="s">
        <v>40</v>
      </c>
      <c r="G6" s="32" t="s">
        <v>26</v>
      </c>
      <c r="H6" s="35" t="s">
        <v>27</v>
      </c>
    </row>
    <row r="7" spans="1:9" x14ac:dyDescent="0.2">
      <c r="A7" s="2" t="s">
        <v>48</v>
      </c>
      <c r="B7" s="3" t="s">
        <v>38</v>
      </c>
      <c r="C7" s="3">
        <f>'Categoria C'!C2</f>
        <v>36</v>
      </c>
      <c r="D7" s="5">
        <f>'Categoria C'!D2</f>
        <v>98.5</v>
      </c>
      <c r="E7" s="6">
        <f t="shared" ref="E7:E10" si="6">IF(D7&gt;85,D7)+IF(AND(D7&lt;86,D7&gt;70),80)+IF(AND(D7&lt;71,D7&gt;50),60)</f>
        <v>98.5</v>
      </c>
      <c r="F7" s="54">
        <f>ROUND(('Conteggio personale'!$G$8*E7%)/36*C7,2)</f>
        <v>1387.36</v>
      </c>
      <c r="G7" s="33">
        <f>'Categoria C'!H2</f>
        <v>0</v>
      </c>
      <c r="H7" s="36">
        <f>F7-G7</f>
        <v>1387.36</v>
      </c>
    </row>
    <row r="8" spans="1:9" x14ac:dyDescent="0.2">
      <c r="A8" s="2" t="s">
        <v>49</v>
      </c>
      <c r="B8" s="3" t="s">
        <v>3</v>
      </c>
      <c r="C8" s="3">
        <f>'Categoria C'!C3</f>
        <v>36</v>
      </c>
      <c r="D8" s="5">
        <f>'Categoria C'!D3</f>
        <v>88</v>
      </c>
      <c r="E8" s="6">
        <f t="shared" si="6"/>
        <v>88</v>
      </c>
      <c r="F8" s="54">
        <f>ROUND(('Conteggio personale'!$G$8*E8%)/36*C8,2)</f>
        <v>1239.47</v>
      </c>
      <c r="G8" s="33">
        <f>'Categoria C'!H3</f>
        <v>0</v>
      </c>
      <c r="H8" s="36">
        <f>F8-G8</f>
        <v>1239.47</v>
      </c>
    </row>
    <row r="9" spans="1:9" x14ac:dyDescent="0.2">
      <c r="A9" s="2" t="s">
        <v>50</v>
      </c>
      <c r="B9" s="3" t="s">
        <v>3</v>
      </c>
      <c r="C9" s="3">
        <f>'Categoria C'!C4</f>
        <v>36</v>
      </c>
      <c r="D9" s="5">
        <f>'Categoria C'!D4</f>
        <v>92</v>
      </c>
      <c r="E9" s="4">
        <f t="shared" si="6"/>
        <v>92</v>
      </c>
      <c r="F9" s="54">
        <f>ROUND(('Conteggio personale'!$G$8*E9%)/36*C9,2)</f>
        <v>1295.81</v>
      </c>
      <c r="G9" s="33">
        <f>'Categoria C'!H4</f>
        <v>0</v>
      </c>
      <c r="H9" s="36">
        <f>F9-G9</f>
        <v>1295.81</v>
      </c>
    </row>
    <row r="10" spans="1:9" x14ac:dyDescent="0.2">
      <c r="A10" s="2" t="s">
        <v>51</v>
      </c>
      <c r="B10" s="3" t="s">
        <v>3</v>
      </c>
      <c r="C10" s="3">
        <f>'Categoria C'!C5</f>
        <v>36</v>
      </c>
      <c r="D10" s="5">
        <f>'Categoria C'!D5</f>
        <v>92</v>
      </c>
      <c r="E10" s="6">
        <f t="shared" si="6"/>
        <v>92</v>
      </c>
      <c r="F10" s="54">
        <f>ROUND(('Conteggio personale'!$G$8*E10%)/36*C10,2)</f>
        <v>1295.81</v>
      </c>
      <c r="G10" s="33">
        <f>'Categoria C'!H5</f>
        <v>21.3</v>
      </c>
      <c r="H10" s="36">
        <f>F10-G10</f>
        <v>1274.51</v>
      </c>
      <c r="I10" s="71">
        <f>SUM(H7:H10)</f>
        <v>5197.1499999999996</v>
      </c>
    </row>
    <row r="11" spans="1:9" ht="45" x14ac:dyDescent="0.25">
      <c r="A11" s="13" t="s">
        <v>0</v>
      </c>
      <c r="B11" s="14" t="s">
        <v>10</v>
      </c>
      <c r="C11" s="15" t="s">
        <v>7</v>
      </c>
      <c r="D11" s="18" t="s">
        <v>5</v>
      </c>
      <c r="E11" s="25" t="s">
        <v>6</v>
      </c>
      <c r="F11" s="28" t="s">
        <v>40</v>
      </c>
      <c r="G11" s="32" t="s">
        <v>26</v>
      </c>
      <c r="H11" s="35" t="s">
        <v>27</v>
      </c>
    </row>
    <row r="12" spans="1:9" x14ac:dyDescent="0.2">
      <c r="A12" s="1"/>
      <c r="B12" s="1"/>
      <c r="C12" s="1"/>
      <c r="D12" s="4"/>
      <c r="E12" s="4"/>
      <c r="F12" s="29"/>
      <c r="G12" s="34"/>
      <c r="H12" s="36"/>
    </row>
    <row r="13" spans="1:9" x14ac:dyDescent="0.2">
      <c r="A13" s="1"/>
      <c r="B13" s="1"/>
      <c r="C13" s="1"/>
      <c r="D13" s="4"/>
      <c r="E13" s="4">
        <f t="shared" ref="E13" si="7">IF(D13&gt;85,D13)+IF(AND(D13&lt;86,D13&gt;70),80)+IF(AND(D13&lt;71,D13&gt;50),60)</f>
        <v>0</v>
      </c>
      <c r="F13" s="29">
        <f>('Conteggio personale'!$G$12*'Liquidazione produttività'!E13%)/36*C13/12*7</f>
        <v>0</v>
      </c>
      <c r="G13" s="33"/>
      <c r="H13" s="36">
        <f>F13-G13</f>
        <v>0</v>
      </c>
      <c r="I13" s="71">
        <f>SUM(H13)</f>
        <v>0</v>
      </c>
    </row>
    <row r="14" spans="1:9" ht="45" x14ac:dyDescent="0.25">
      <c r="A14" s="13" t="s">
        <v>0</v>
      </c>
      <c r="B14" s="14" t="s">
        <v>28</v>
      </c>
      <c r="C14" s="15" t="s">
        <v>7</v>
      </c>
      <c r="D14" s="18" t="s">
        <v>5</v>
      </c>
      <c r="E14" s="26"/>
      <c r="F14" s="28" t="s">
        <v>40</v>
      </c>
      <c r="G14" s="32" t="s">
        <v>26</v>
      </c>
      <c r="H14" s="35" t="s">
        <v>27</v>
      </c>
    </row>
    <row r="15" spans="1:9" x14ac:dyDescent="0.2">
      <c r="A15" s="56"/>
      <c r="B15" s="56"/>
      <c r="C15" s="56"/>
      <c r="D15" s="6"/>
      <c r="E15" s="6">
        <f>IF(D15&gt;85,D15)+IF(AND(D15&lt;86,D15&gt;70),80)+IF(AND(D15&lt;71,D15&gt;50),60)</f>
        <v>0</v>
      </c>
      <c r="F15" s="29">
        <f>('Conteggio personale'!$G$16*'Liquidazione produttività'!E15%)/36*C15</f>
        <v>0</v>
      </c>
      <c r="G15" s="34"/>
      <c r="H15" s="36">
        <f t="shared" ref="H15" si="8">F15-G15</f>
        <v>0</v>
      </c>
    </row>
    <row r="16" spans="1:9" x14ac:dyDescent="0.2">
      <c r="F16" s="96">
        <f>SUM(F2:F15)</f>
        <v>8793.99</v>
      </c>
      <c r="G16" s="96">
        <f t="shared" ref="G16" si="9">G15+G13+G10+G9+G8+G7+G5+G4+G2</f>
        <v>21.3</v>
      </c>
      <c r="H16" s="101">
        <f>SUM(H2:H15)</f>
        <v>8772.69</v>
      </c>
    </row>
    <row r="17" spans="4:9" x14ac:dyDescent="0.2">
      <c r="F17" s="93" t="s">
        <v>41</v>
      </c>
      <c r="G17" s="94"/>
      <c r="H17" s="95">
        <f>G16</f>
        <v>21.3</v>
      </c>
    </row>
    <row r="19" spans="4:9" x14ac:dyDescent="0.2">
      <c r="F19" s="93" t="s">
        <v>39</v>
      </c>
      <c r="G19" s="94"/>
      <c r="H19" s="92">
        <f>'Calcoli Fondo'!C2</f>
        <v>373.08262500000001</v>
      </c>
    </row>
    <row r="21" spans="4:9" x14ac:dyDescent="0.2">
      <c r="H21" s="31">
        <f>SUM(H16:H20)</f>
        <v>9167.0726250000007</v>
      </c>
    </row>
    <row r="22" spans="4:9" x14ac:dyDescent="0.2">
      <c r="D22" s="93" t="s">
        <v>42</v>
      </c>
      <c r="E22" s="99"/>
      <c r="F22" s="100"/>
      <c r="G22" s="94"/>
      <c r="H22" s="26">
        <f>ROUND('Conteggio personale'!I20,2)</f>
        <v>781.78</v>
      </c>
      <c r="I22" s="17" t="s">
        <v>43</v>
      </c>
    </row>
    <row r="23" spans="4:9" x14ac:dyDescent="0.2">
      <c r="H23" s="31">
        <f>SUM(H21:H22)</f>
        <v>9948.8526250000014</v>
      </c>
    </row>
  </sheetData>
  <sortState xmlns:xlrd2="http://schemas.microsoft.com/office/spreadsheetml/2017/richdata2" ref="A15:E36">
    <sortCondition descending="1" ref="D15:D36"/>
  </sortState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Calcoli Fondo</vt:lpstr>
      <vt:lpstr>Conteggio personale</vt:lpstr>
      <vt:lpstr>Categoria D</vt:lpstr>
      <vt:lpstr>Categoria C</vt:lpstr>
      <vt:lpstr>Categoria B3</vt:lpstr>
      <vt:lpstr>Categoria B1</vt:lpstr>
      <vt:lpstr>produttività da liquidare</vt:lpstr>
      <vt:lpstr>Liquidazione produttività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Patrizia Nobili</cp:lastModifiedBy>
  <cp:lastPrinted>2023-11-07T08:42:47Z</cp:lastPrinted>
  <dcterms:created xsi:type="dcterms:W3CDTF">2021-07-20T06:32:55Z</dcterms:created>
  <dcterms:modified xsi:type="dcterms:W3CDTF">2024-05-29T09:57:25Z</dcterms:modified>
</cp:coreProperties>
</file>